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VL+piYtG31Vbpw6bFr1jVs1K/xUdocS4Hm2WhMH3II74ox9tEjYbBlKOqac+Fpt2Odb3/Jo1VIFon9K3yu6ftg==" workbookSaltValue="tMFc29uW97W+xzJOwlAS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BH19" i="13"/>
  <c r="R19" i="8"/>
  <c r="EP19" i="8"/>
  <c r="EP19" i="19"/>
  <c r="AT17" i="20"/>
  <c r="K18" i="2"/>
  <c r="H13" i="12"/>
  <c r="T13" i="12"/>
  <c r="BI17" i="11"/>
  <c r="BL11" i="11"/>
  <c r="BM15" i="11"/>
  <c r="T15" i="16"/>
  <c r="BV17" i="16"/>
  <c r="BV12" i="16"/>
  <c r="BV11" i="16"/>
  <c r="U10" i="17"/>
  <c r="V12" i="16"/>
  <c r="T13" i="16"/>
  <c r="BG12" i="11"/>
  <c r="BH10" i="11"/>
  <c r="AQ10" i="21"/>
  <c r="BK16" i="11"/>
  <c r="BG16" i="11"/>
  <c r="AQ12" i="21"/>
  <c r="BL16" i="11"/>
  <c r="T13" i="20"/>
  <c r="J18" i="17"/>
  <c r="U9" i="17"/>
  <c r="U19" i="17" s="1"/>
  <c r="BG15" i="13"/>
  <c r="BA18" i="13"/>
  <c r="BE15" i="13"/>
  <c r="AH20" i="20"/>
  <c r="AL20" i="20"/>
  <c r="AB20" i="20"/>
  <c r="AO20" i="20"/>
  <c r="AN20" i="20"/>
  <c r="Y20" i="20"/>
  <c r="U10" i="11"/>
  <c r="BF17" i="8" l="1"/>
  <c r="AC19" i="8"/>
  <c r="AJ19" i="8"/>
  <c r="AC10" i="11"/>
  <c r="D10" i="6"/>
  <c r="BE10" i="8"/>
  <c r="I10" i="12" s="1"/>
  <c r="AL9" i="11"/>
  <c r="N13" i="2"/>
  <c r="F9" i="2"/>
  <c r="AL12" i="11"/>
  <c r="C17" i="6"/>
  <c r="H12" i="7"/>
  <c r="X12" i="21"/>
  <c r="BH11"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L9" i="11"/>
  <c r="BH17" i="16"/>
  <c r="BG10" i="11"/>
  <c r="BM16" i="11"/>
  <c r="P17" i="17"/>
  <c r="BL17" i="11"/>
  <c r="BK12" i="11"/>
  <c r="BF10" i="11"/>
  <c r="BK9" i="11"/>
  <c r="BK15" i="11"/>
  <c r="V11" i="11"/>
  <c r="BI10" i="11"/>
  <c r="Q10" i="21"/>
  <c r="V9" i="11"/>
  <c r="BJ11" i="11"/>
  <c r="L9" i="2"/>
  <c r="L16" i="2"/>
  <c r="BJ16" i="11"/>
  <c r="BH16" i="11"/>
  <c r="BH11" i="11"/>
  <c r="BJ10" i="11"/>
  <c r="BI9" i="11"/>
  <c r="Q17" i="17"/>
  <c r="AZ12" i="11"/>
  <c r="BU12" i="17"/>
  <c r="BW10" i="20"/>
  <c r="BW11" i="20"/>
  <c r="BW12" i="20"/>
  <c r="BU10" i="17"/>
  <c r="BU11" i="17"/>
  <c r="T17" i="16"/>
  <c r="BH17" i="11"/>
  <c r="BG9" i="11"/>
  <c r="R10" i="21"/>
  <c r="R13" i="21" s="1"/>
  <c r="BF9" i="8"/>
  <c r="E12" i="6"/>
  <c r="AO12" i="11"/>
  <c r="B10" i="6"/>
  <c r="H12" i="2"/>
  <c r="C10" i="6"/>
  <c r="BG15" i="8"/>
  <c r="K15" i="7" s="1"/>
  <c r="BD16" i="8"/>
  <c r="H16" i="7" s="1"/>
  <c r="AO17" i="11"/>
  <c r="L16" i="14"/>
  <c r="L17" i="14"/>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AK20" i="20"/>
  <c r="W20" i="21"/>
  <c r="AV20" i="20"/>
  <c r="AQ20" i="21"/>
  <c r="K20" i="20"/>
  <c r="AD20" i="20"/>
  <c r="AJ20" i="20"/>
  <c r="J20" i="20"/>
  <c r="O16" i="11"/>
  <c r="AG20" i="20"/>
  <c r="U12" i="11"/>
  <c r="S20" i="20"/>
  <c r="U16" i="11"/>
  <c r="G18" i="14"/>
  <c r="AE20" i="20"/>
  <c r="F20" i="20"/>
  <c r="Z20" i="20"/>
  <c r="X20" i="20"/>
  <c r="C13" i="6" l="1"/>
  <c r="F13" i="2"/>
  <c r="J13" i="2"/>
  <c r="K9" i="1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C20" i="11"/>
  <c r="H20" i="21"/>
  <c r="AE20" i="16"/>
  <c r="F20" i="21"/>
  <c r="N20" i="17"/>
  <c r="K20" i="16"/>
  <c r="O20" i="16"/>
  <c r="P20" i="11"/>
  <c r="O20" i="17"/>
  <c r="AR20" i="20"/>
  <c r="E20" i="17"/>
  <c r="AP20" i="21"/>
  <c r="E20" i="11"/>
  <c r="L20" i="21"/>
  <c r="M20" i="21"/>
  <c r="AM20" i="17"/>
  <c r="J20" i="21"/>
  <c r="AN20" i="17"/>
  <c r="U20" i="16"/>
  <c r="V20" i="17"/>
  <c r="BD20" i="16"/>
  <c r="AN20" i="16"/>
  <c r="AA20" i="17"/>
  <c r="AK20" i="11"/>
  <c r="AD20" i="21"/>
  <c r="AR20" i="11"/>
  <c r="AN20" i="21"/>
  <c r="AG20" i="17"/>
  <c r="P20" i="17"/>
  <c r="AL20" i="11"/>
  <c r="AW20" i="16"/>
  <c r="AA20" i="16"/>
  <c r="AE20" i="11"/>
  <c r="AU20" i="11"/>
  <c r="AN20" i="11"/>
  <c r="H20" i="12"/>
  <c r="V20" i="11"/>
  <c r="V20" i="21"/>
  <c r="AH20" i="17"/>
  <c r="BG20" i="16"/>
  <c r="AT20" i="17"/>
  <c r="X20" i="17"/>
  <c r="AR20" i="17"/>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J20" i="17"/>
  <c r="AE20" i="17"/>
  <c r="X20" i="16"/>
  <c r="S20" i="17"/>
  <c r="AI20" i="21"/>
  <c r="U20" i="20"/>
  <c r="AA20" i="21"/>
  <c r="I20" i="16"/>
  <c r="I20" i="21"/>
  <c r="BF20" i="16"/>
  <c r="AW20" i="17"/>
  <c r="AR20" i="16"/>
  <c r="R20" i="21"/>
  <c r="AE20" i="21"/>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<sst xmlns="http://schemas.openxmlformats.org/spreadsheetml/2006/main" count="2102" uniqueCount="916">
  <si>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</si>
  <si>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</si>
  <si>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</si>
  <si>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</si>
  <si>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</si>
  <si>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</si>
  <si>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</si>
  <si>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</si>
  <si>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</si>
  <si>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</si>
  <si>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</si>
  <si>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</si>
  <si>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</si>
  <si>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</si>
  <si>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</si>
  <si>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</si>
  <si>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</si>
  <si>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</si>
  <si>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</si>
  <si>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</si>
  <si>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</si>
  <si>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</si>
  <si>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</si>
  <si>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</si>
  <si>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</si>
  <si>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</si>
  <si>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</si>
  <si>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</si>
  <si>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</si>
  <si>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</si>
  <si>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</si>
  <si>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</si>
  <si>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</si>
  <si>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</si>
  <si>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</si>
  <si>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</si>
  <si>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</si>
  <si>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</si>
  <si>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</si>
  <si>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</si>
  <si>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</si>
  <si>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</si>
  <si>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</si>
  <si>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</si>
  <si>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</si>
  <si>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</si>
  <si>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</si>
  <si>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</si>
  <si>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</si>
  <si>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</si>
  <si>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</si>
  <si>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</si>
  <si>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</si>
  <si>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</si>
  <si>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</si>
  <si>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</si>
  <si>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</si>
  <si>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</si>
  <si>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</si>
  <si>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</si>
  <si>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</si>
  <si>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</si>
  <si>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</si>
  <si>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</si>
  <si>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</si>
  <si>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</si>
  <si>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</si>
  <si>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</si>
  <si>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</si>
  <si>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</si>
  <si>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</si>
  <si>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</si>
  <si>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</si>
  <si>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</si>
  <si>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</si>
  <si>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</si>
  <si>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</si>
  <si>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</si>
  <si>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</si>
  <si>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</si>
  <si>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</si>
  <si>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</si>
  <si>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</si>
  <si>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</si>
  <si>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</si>
  <si>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</si>
  <si>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</si>
  <si>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</si>
  <si>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</si>
  <si>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</si>
  <si>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</si>
  <si>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</si>
  <si>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</si>
  <si>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</si>
  <si>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</si>
  <si>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</si>
  <si>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</si>
  <si>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</si>
  <si>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</si>
  <si>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</si>
  <si>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</si>
  <si>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</si>
  <si>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</si>
  <si>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</si>
  <si>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</si>
  <si>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</si>
  <si>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</si>
  <si>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</si>
  <si>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</si>
  <si>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</si>
  <si>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</si>
  <si>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</si>
  <si>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</si>
  <si>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</si>
  <si>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</si>
  <si>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</si>
  <si>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</si>
  <si>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</si>
  <si>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</si>
  <si>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</si>
  <si>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</si>
  <si>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</si>
  <si>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</si>
  <si>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</si>
  <si>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</si>
  <si>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</si>
  <si>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</si>
  <si>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</si>
  <si>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</si>
  <si>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</si>
  <si>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</si>
  <si>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</si>
  <si>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</si>
  <si>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</si>
  <si>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</si>
  <si>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</si>
  <si>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</si>
  <si>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</si>
  <si>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</si>
  <si>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</si>
  <si>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</si>
  <si>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</si>
  <si>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</si>
  <si>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</si>
  <si>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</si>
  <si>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</si>
  <si>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</si>
  <si>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</si>
  <si>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</si>
  <si>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</si>
  <si>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</si>
  <si>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</si>
  <si>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</si>
  <si>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</si>
  <si>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</si>
  <si>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</si>
  <si>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</si>
  <si>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</si>
  <si>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</si>
  <si>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</si>
  <si>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</si>
  <si>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</si>
  <si>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</si>
  <si>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</si>
  <si>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</si>
  <si>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</si>
  <si>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</si>
  <si>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</si>
  <si>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</si>
  <si>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</si>
  <si>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</si>
  <si>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</si>
  <si>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</si>
  <si>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</si>
  <si>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</si>
  <si>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</si>
  <si>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</si>
  <si>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</si>
  <si>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</si>
  <si>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</si>
  <si>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</si>
  <si>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</si>
  <si>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</si>
  <si>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</si>
  <si>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</si>
  <si>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</si>
  <si>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</si>
  <si>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</si>
  <si>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</si>
  <si>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</si>
  <si>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</si>
  <si>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</si>
  <si>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</si>
  <si>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</si>
  <si>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</si>
  <si>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</si>
  <si>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</si>
  <si>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</si>
  <si>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</si>
  <si>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</si>
  <si>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</si>
  <si>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</si>
  <si>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</si>
  <si>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</si>
  <si>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</si>
  <si>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</si>
  <si>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</si>
  <si>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</si>
  <si>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</si>
  <si>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</si>
  <si>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</si>
  <si>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</si>
  <si>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</si>
  <si>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</si>
  <si>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</si>
  <si>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</si>
  <si>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</si>
  <si>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</si>
  <si>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</si>
  <si>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</si>
  <si>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</si>
  <si>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</si>
  <si>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</si>
  <si>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</si>
  <si>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</si>
  <si>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</si>
  <si>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</si>
  <si>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</si>
  <si>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</si>
  <si>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</si>
  <si>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</si>
  <si>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</si>
  <si>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</si>
  <si>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</si>
  <si>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</si>
  <si>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</si>
  <si>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</si>
  <si>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</si>
  <si>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</si>
  <si>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</si>
  <si>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</si>
  <si>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</si>
  <si>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</si>
  <si>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</si>
  <si>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</si>
  <si>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</si>
  <si>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</si>
  <si>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</si>
  <si>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</si>
  <si>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</si>
  <si>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</si>
  <si>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</si>
  <si>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</si>
  <si>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</si>
  <si>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</si>
  <si>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</si>
  <si>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</si>
  <si>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</si>
  <si>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</si>
  <si>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</si>
  <si>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</si>
  <si>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</si>
  <si>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</si>
  <si>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</si>
  <si>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</si>
  <si>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</si>
  <si>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</si>
  <si>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</si>
  <si>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</si>
  <si>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</si>
  <si>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</si>
  <si>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</si>
  <si>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</si>
  <si>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</si>
  <si>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</si>
  <si>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</si>
  <si>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</si>
  <si>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</si>
  <si>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</si>
  <si>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</si>
  <si>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</si>
  <si>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</si>
  <si>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</si>
  <si>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</si>
  <si>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</si>
  <si>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</si>
  <si>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</si>
  <si>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</si>
  <si>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</si>
  <si>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</si>
  <si>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</si>
  <si>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</si>
  <si>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</si>
  <si>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</si>
  <si>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</si>
  <si>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</si>
  <si>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</si>
  <si>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</si>
  <si>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</si>
  <si>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</si>
  <si>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</si>
  <si>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</si>
  <si>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</si>
  <si>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</si>
  <si>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</si>
  <si>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</si>
  <si>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</si>
  <si>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</si>
  <si>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</si>
  <si>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</si>
  <si>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</si>
  <si>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</si>
  <si>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</si>
  <si>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</si>
  <si>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</si>
  <si>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</si>
  <si>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</si>
  <si>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</si>
  <si>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</si>
  <si>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</si>
  <si>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</si>
  <si>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</si>
  <si>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</si>
  <si>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</si>
  <si>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</si>
  <si>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</si>
  <si>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</si>
  <si>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</si>
  <si>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</si>
  <si>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</si>
  <si>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</si>
  <si>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</si>
  <si>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</si>
  <si>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</si>
  <si>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</si>
  <si>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</si>
  <si>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</si>
  <si>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</si>
  <si>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</si>
  <si>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</si>
  <si>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</si>
  <si>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</si>
  <si>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</si>
  <si>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</si>
  <si>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</si>
  <si>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</si>
  <si>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</si>
  <si>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</si>
  <si>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</si>
  <si>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</si>
  <si>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</si>
  <si>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</si>
  <si>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</si>
  <si>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</si>
  <si>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</si>
  <si>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</si>
  <si>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</si>
  <si>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</si>
  <si>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</si>
  <si>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</si>
  <si>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</si>
  <si>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</si>
  <si>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</si>
  <si>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</si>
  <si>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</si>
  <si>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</si>
  <si>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</si>
  <si>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</si>
  <si>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</si>
  <si>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</si>
  <si>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</si>
  <si>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</si>
  <si>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</si>
  <si>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</si>
  <si>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</si>
  <si>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</si>
  <si>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</si>
  <si>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</si>
  <si>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</si>
  <si>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</si>
  <si>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</si>
  <si>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</si>
  <si>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</si>
  <si>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</si>
  <si>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</si>
  <si>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</si>
  <si>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</si>
  <si>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</si>
  <si>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</si>
  <si>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</si>
  <si>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</si>
  <si>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</si>
  <si>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</si>
  <si>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</si>
  <si>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</si>
  <si>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</si>
  <si>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</si>
  <si>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</si>
  <si>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</si>
  <si>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</si>
  <si>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</si>
  <si>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</si>
  <si>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</si>
  <si>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</si>
  <si>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</si>
  <si>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</si>
  <si>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</si>
  <si>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</si>
  <si>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</si>
  <si>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</si>
  <si>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</si>
  <si>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</si>
  <si>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</si>
  <si>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</si>
  <si>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</si>
  <si>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</si>
  <si>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</si>
  <si>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</si>
  <si>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</si>
  <si>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</si>
  <si>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</si>
  <si>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</si>
  <si>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</si>
  <si>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</si>
  <si>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</si>
  <si>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</si>
  <si>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</si>
  <si>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</si>
  <si>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</si>
  <si>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</si>
  <si>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</si>
  <si>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</si>
  <si>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</si>
  <si>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</si>
  <si>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</si>
  <si>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</si>
  <si>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</si>
  <si>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</si>
  <si>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</si>
  <si>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</si>
  <si>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</si>
  <si>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</si>
  <si>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</si>
  <si>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</si>
  <si>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</si>
  <si>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</si>
  <si>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</si>
  <si>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</si>
  <si>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</si>
  <si>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</si>
  <si>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</si>
  <si>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</si>
  <si>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</si>
  <si>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</si>
  <si>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</si>
  <si>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</si>
  <si>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</si>
  <si>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</si>
  <si>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</si>
  <si>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</si>
  <si>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</si>
  <si>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</si>
  <si>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</si>
  <si>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</si>
  <si>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</si>
  <si>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</si>
  <si>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</si>
  <si>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</si>
  <si>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</si>
  <si>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</si>
  <si>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</si>
  <si>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</si>
  <si>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</si>
  <si>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</si>
  <si>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</si>
  <si>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</si>
  <si>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</si>
  <si>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</si>
  <si>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</si>
  <si>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</si>
  <si>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</si>
  <si>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</si>
  <si>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</si>
  <si>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</si>
  <si>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</si>
  <si>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</si>
  <si>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</si>
  <si>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</si>
  <si>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</si>
  <si>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</si>
  <si>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</si>
  <si>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</si>
  <si>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</si>
  <si>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</si>
  <si>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</si>
  <si>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</si>
  <si>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</si>
  <si>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</si>
  <si>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</si>
  <si>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</si>
  <si>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</si>
  <si>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</si>
  <si>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</si>
  <si>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</si>
  <si>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</si>
  <si>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</si>
  <si>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</si>
  <si>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</si>
  <si>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</si>
  <si>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</si>
  <si>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</si>
  <si>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</si>
  <si>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</si>
  <si>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</si>
  <si>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</si>
  <si>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</si>
  <si>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</si>
  <si>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</si>
  <si>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</si>
  <si>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</si>
  <si>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</si>
  <si>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</si>
  <si>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</si>
  <si>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</si>
  <si>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</si>
  <si>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</si>
  <si>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</si>
  <si>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</si>
  <si>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</si>
  <si>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</si>
  <si>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</si>
  <si>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</si>
  <si>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</si>
  <si>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</si>
  <si>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</si>
  <si>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</si>
  <si>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</si>
  <si>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</si>
  <si>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</si>
  <si>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</si>
  <si>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</si>
  <si>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</si>
  <si>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</si>
  <si>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</si>
  <si>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</si>
  <si>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</si>
  <si>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</si>
  <si>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</si>
  <si>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</si>
  <si>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</si>
  <si>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</si>
  <si>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</si>
  <si>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</si>
  <si>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</si>
  <si>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</si>
  <si>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</si>
  <si>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</si>
  <si>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</si>
  <si>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</si>
  <si>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</si>
  <si>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</si>
  <si>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</si>
  <si>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</si>
  <si>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</si>
  <si>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</si>
  <si>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</si>
  <si>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</si>
  <si>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</si>
  <si>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</si>
  <si>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</si>
  <si>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</si>
  <si>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</si>
  <si>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</si>
  <si>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</si>
  <si>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</si>
  <si>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</si>
  <si>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</si>
  <si>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</si>
  <si>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</si>
  <si>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</si>
  <si>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</si>
  <si>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</si>
  <si>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</si>
  <si>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</si>
  <si>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</si>
  <si>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</si>
  <si>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</si>
  <si>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</si>
  <si>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</si>
  <si>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</si>
  <si>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</si>
  <si>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</si>
  <si>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</si>
  <si>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</si>
  <si>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</si>
  <si>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</si>
  <si>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</si>
  <si>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</si>
  <si>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</si>
  <si>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</si>
  <si>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</si>
  <si>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</si>
  <si>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</si>
  <si>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</si>
  <si>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</si>
  <si>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</si>
  <si>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</si>
  <si>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</si>
  <si>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</si>
  <si>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</si>
  <si>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</si>
  <si>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</si>
  <si>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</si>
  <si>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</si>
  <si>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</si>
  <si>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</si>
  <si>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</si>
  <si>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</si>
  <si>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</si>
  <si>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</si>
  <si>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</si>
  <si>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</si>
  <si>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</si>
  <si>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</si>
  <si>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</si>
  <si>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</si>
  <si>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</si>
  <si>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</si>
  <si>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</si>
  <si>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</si>
  <si>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</si>
  <si>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</si>
  <si>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</si>
  <si>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</si>
  <si>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</si>
  <si>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</si>
  <si>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</si>
  <si>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</si>
  <si>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</si>
  <si>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</si>
  <si>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</si>
  <si>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</si>
  <si>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</si>
  <si>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</si>
  <si>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</si>
  <si>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</si>
  <si>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</si>
  <si>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</si>
  <si>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</si>
  <si>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</si>
  <si>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</si>
  <si>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</si>
  <si>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</si>
  <si>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</si>
  <si>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</si>
  <si>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</si>
  <si>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</si>
  <si>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</si>
  <si>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</si>
  <si>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</si>
  <si>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</si>
  <si>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</si>
  <si>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</si>
  <si>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</si>
  <si>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</si>
  <si>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</si>
  <si>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</si>
  <si>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</si>
  <si>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</si>
  <si>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</si>
  <si>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</si>
  <si>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</si>
  <si>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</si>
  <si>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</si>
  <si>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</si>
  <si>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</si>
  <si>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</si>
  <si>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</si>
  <si>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</si>
  <si>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</si>
  <si>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</si>
  <si>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</si>
  <si>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</si>
  <si>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</si>
  <si>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</si>
  <si>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</si>
  <si>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</si>
  <si>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</si>
  <si>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</si>
  <si>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</si>
  <si>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</si>
  <si>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</si>
  <si>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</si>
  <si>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</si>
  <si>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</si>
  <si>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</si>
  <si>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</si>
  <si>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</si>
  <si>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</si>
  <si>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</si>
  <si>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</si>
  <si>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</si>
  <si>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</si>
  <si>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</si>
  <si>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</si>
  <si>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</si>
  <si>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</si>
  <si>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</si>
  <si>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</si>
  <si>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</si>
  <si>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</si>
  <si>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</si>
  <si>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</si>
  <si>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</si>
  <si>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</si>
  <si>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</si>
  <si>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</si>
  <si>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</si>
  <si>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</si>
  <si>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</si>
  <si>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</si>
  <si>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</si>
  <si>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</si>
  <si>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</si>
  <si>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</si>
  <si>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</si>
  <si>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</si>
  <si>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</si>
  <si>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</si>
  <si>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</si>
  <si>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</si>
  <si>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</si>
  <si>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</si>
  <si>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</si>
  <si>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</si>
  <si>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</si>
  <si>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</si>
  <si>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</si>
  <si>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</si>
  <si>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</si>
  <si>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</si>
  <si>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</si>
  <si>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</si>
  <si>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</si>
  <si>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</si>
  <si>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</si>
  <si>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</si>
  <si>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</si>
  <si>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</si>
  <si>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</si>
  <si>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</si>
  <si>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</si>
  <si>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</si>
  <si>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</si>
  <si>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</si>
  <si>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</si>
  <si>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</si>
  <si>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</si>
  <si>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</si>
  <si>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</si>
  <si>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</si>
  <si>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</si>
  <si>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</si>
  <si>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</si>
  <si>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</si>
  <si>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</si>
  <si>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</si>
  <si>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</si>
  <si>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</si>
  <si>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</si>
  <si>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</si>
  <si>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</si>
  <si>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</si>
  <si>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</si>
  <si>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</si>
  <si>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</si>
  <si>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</si>
  <si>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</si>
  <si>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</si>
  <si>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</si>
  <si>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</si>
  <si>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</si>
  <si>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</si>
  <si>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</si>
  <si>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</si>
  <si>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</si>
  <si>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</si>
  <si>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</si>
  <si>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</si>
  <si>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</si>
  <si>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</si>
  <si>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</si>
  <si>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</si>
  <si>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</si>
  <si>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</si>
  <si>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</si>
  <si>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</si>
  <si>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</si>
  <si>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</si>
  <si>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</si>
  <si>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</si>
  <si>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</si>
  <si>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</si>
  <si>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</si>
  <si>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</si>
  <si>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</si>
  <si>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</si>
  <si>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</si>
  <si>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</si>
  <si>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</si>
  <si>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</si>
  <si>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</si>
  <si>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</si>
  <si>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</si>
  <si>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</si>
  <si>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</si>
  <si>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</si>
  <si>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</si>
  <si>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</si>
  <si>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</si>
  <si>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</si>
  <si>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</si>
  <si>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</si>
  <si>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</si>
  <si>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</si>
  <si>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</si>
  <si>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</si>
  <si>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</si>
  <si>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</si>
  <si>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</si>
  <si>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</si>
  <si>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</si>
  <si>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</si>
  <si>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</si>
  <si>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</si>
  <si>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</si>
  <si>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</si>
  <si>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</si>
  <si>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</si>
  <si>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</si>
  <si>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</si>
  <si>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</si>
  <si>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</si>
  <si>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</si>
  <si>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</si>
  <si>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</si>
  <si>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</si>
  <si>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</si>
  <si>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</si>
  <si>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</si>
  <si>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</si>
  <si>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</si>
  <si>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</si>
  <si>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</si>
  <si>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</si>
  <si>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</si>
  <si>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</si>
  <si>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</si>
  <si>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</si>
  <si>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</si>
  <si>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</si>
  <si>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</si>
  <si>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</si>
  <si>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</si>
  <si>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</si>
  <si>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</si>
  <si>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</si>
  <si>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</si>
  <si>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</si>
  <si>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</si>
  <si>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</si>
  <si>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</si>
  <si>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</si>
  <si>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</si>
  <si>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</si>
  <si>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</si>
  <si>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</si>
  <si>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</si>
  <si>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</si>
  <si>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</si>
  <si>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</si>
  <si>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</si>
  <si>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</si>
  <si>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</si>
  <si>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</si>
  <si>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</si>
  <si>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</si>
  <si>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</si>
  <si>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</si>
  <si>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</si>
  <si>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</si>
  <si>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</si>
  <si>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</si>
  <si>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</si>
  <si>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</si>
  <si>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</si>
  <si>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</si>
  <si>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</si>
  <si>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</si>
  <si>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</si>
  <si>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</si>
  <si>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</si>
  <si>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</si>
  <si>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</si>
  <si>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</si>
  <si>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</si>
  <si>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</si>
  <si>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</si>
  <si>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</si>
  <si>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</si>
  <si>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</si>
  <si>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</si>
  <si>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</si>
  <si>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</si>
  <si>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</si>
  <si>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MAJADAHONDA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</si>
</sst>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acm48AvQdeIBhYOcRH/o4cptflq25CqS4q2ZOmY0fBg8/+JRAc2eOxUoxTCjGyi/yFMK8iCBoOCeBO2RyI2Hw==" saltValue="YnihJ7LSKD5I93Jftwat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85</v>
      </c>
      <c r="E10" s="226">
        <f>IF(ISNUMBER(Datos!J10),Datos!J10," - ")</f>
        <v>19</v>
      </c>
      <c r="F10" s="226">
        <f>IF(ISNUMBER(Datos!K10),Datos!K10," - ")</f>
        <v>15</v>
      </c>
      <c r="G10" s="1034" t="str">
        <f>IF(Datos!E10&lt;&gt;"",Datos!E10,Datos!D10)</f>
        <v>37</v>
      </c>
      <c r="H10" s="227">
        <f>IF(ISNUMBER(Datos!L10),Datos!L10," - ")</f>
        <v>38</v>
      </c>
      <c r="I10" s="1044" t="str">
        <f>IF(ISNUMBER(Datos!AS10/Datos!BM10),Datos!AS10/Datos!BM10," - ")</f>
        <v xml:space="preserve"> - </v>
      </c>
      <c r="J10" s="1045">
        <f>IF(ISNUMBER(Datos!BY10/Datos!CN10),Datos!BY10/Datos!CN10," - ")</f>
        <v>0</v>
      </c>
      <c r="K10" s="230">
        <f t="shared" ref="K10:K12" si="1">IF(ISNUMBER((E10-F10)/C10),(E10-F10)/C10," - ")</f>
        <v>0.11764705882352941</v>
      </c>
      <c r="L10" s="1025">
        <f>IF(ISNUMBER(NºAsuntos!I10/NºAsuntos!G10),(NºAsuntos!I10/NºAsuntos!G10)*11," - ")</f>
        <v>27.866666666666667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23.822110190853437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85</v>
      </c>
      <c r="E13" s="1050">
        <f>SUBTOTAL(9,E9:E12)</f>
        <v>19</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1629</v>
      </c>
      <c r="D16" s="225">
        <f>IF(ISNUMBER(IF(D_I="SI",Datos!I16,Datos!I16+Datos!AC16)),IF(D_I="SI",Datos!I16,Datos!I16+Datos!AC16)," - ")</f>
        <v>2004</v>
      </c>
      <c r="E16" s="226">
        <f>IF(ISNUMBER(IF(D_I="SI",Datos!J16,Datos!J16+Datos!AD16)),IF(D_I="SI",Datos!J16,Datos!J16+Datos!AD16)," - ")</f>
        <v>1754</v>
      </c>
      <c r="F16" s="226">
        <f>IF(ISNUMBER(IF(D_I="SI",Datos!K16,Datos!K16+Datos!AE16)),IF(D_I="SI",Datos!K16,Datos!K16+Datos!AE16)," - ")</f>
        <v>1760</v>
      </c>
      <c r="G16" s="1034" t="str">
        <f>IF(Datos!E16&lt;&gt;"",Datos!E16,Datos!D16)</f>
        <v>04</v>
      </c>
      <c r="H16" s="227">
        <f>IF(ISNUMBER(IF(D_I="SI",Datos!L16,Datos!L16+Datos!AF16)),IF(D_I="SI",Datos!L16,Datos!L16+Datos!AF16)," - ")</f>
        <v>1623</v>
      </c>
      <c r="I16" s="1044" t="str">
        <f>IF(ISNUMBER(Datos!AS16/Datos!BM16),Datos!AS16/Datos!BM16," - ")</f>
        <v xml:space="preserve"> - </v>
      </c>
      <c r="J16" s="1045">
        <f>IF(ISNUMBER(Datos!BY16/Datos!CN16),Datos!BY16/Datos!CN16," - ")</f>
        <v>0</v>
      </c>
      <c r="K16" s="230">
        <f t="shared" si="3"/>
        <v>-3.6832412523020259E-3</v>
      </c>
      <c r="L16" s="1025">
        <f>IF(ISNUMBER(NºAsuntos!I16/NºAsuntos!G16),(NºAsuntos!I16/NºAsuntos!G16)*11," - ")</f>
        <v>10.143749999999999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66</v>
      </c>
      <c r="F17" s="226">
        <f>IF(ISNUMBER(IF(D_I="SI",Datos!K17,Datos!K17+Datos!AE17)),IF(D_I="SI",Datos!K17,Datos!K17+Datos!AE17)," - ")</f>
        <v>69</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-6.1224489795918366E-2</v>
      </c>
      <c r="L17" s="1025">
        <f>IF(ISNUMBER(NºAsuntos!I17/NºAsuntos!G17),(NºAsuntos!I17/NºAsuntos!G17)*11," - ")</f>
        <v>7.333333333333333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1678</v>
      </c>
      <c r="D18" s="1049">
        <f>SUBTOTAL(9,D15:D17)</f>
        <v>2053</v>
      </c>
      <c r="E18" s="1050">
        <f>SUBTOTAL(9,E15:E17)</f>
        <v>1820</v>
      </c>
      <c r="F18" s="1050">
        <f>SUBTOTAL(9,F15:F17)</f>
        <v>1829</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1712</v>
      </c>
      <c r="D19" s="1071">
        <f>SUBTOTAL(9,D9:D18)</f>
        <v>2138</v>
      </c>
      <c r="E19" s="1072">
        <f>SUBTOTAL(9,E9:E18)</f>
        <v>1839</v>
      </c>
      <c r="F19" s="1072">
        <f>SUBTOTAL(9,F9:F18)</f>
        <v>1844</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P1to6mGKWbIZtcJtEaR9bjj8t+vlIn2UH+yPdGOCmxZKUL/rOdUq4na8u+tuKkHlBn8ZqTC1nu07a8+s8py6Pg==" saltValue="qYpaec2JM62O2RIu41Tut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S4qpgulRt+N+mdFB2au9FhTU5Lm6rU+kAWhm3PcZAIkvzpq1uEcII0S/cita8AWTLCZVNxBa8+L6VXaqviMKg==" saltValue="QAltz6L5xXbrBLizTPnt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85</v>
      </c>
      <c r="J10" s="181">
        <v>19</v>
      </c>
      <c r="K10" s="181">
        <v>15</v>
      </c>
      <c r="L10" s="181">
        <v>38</v>
      </c>
      <c r="M10" s="181">
        <v>7</v>
      </c>
      <c r="N10" s="181">
        <v>3</v>
      </c>
      <c r="O10" s="181">
        <v>1</v>
      </c>
      <c r="P10" s="181">
        <v>3</v>
      </c>
      <c r="Q10" s="181">
        <v>2</v>
      </c>
      <c r="R10" s="181">
        <v>111</v>
      </c>
      <c r="S10" s="181">
        <v>81</v>
      </c>
      <c r="T10" s="181">
        <v>18</v>
      </c>
      <c r="U10" s="181">
        <v>20</v>
      </c>
      <c r="V10" s="181">
        <v>79</v>
      </c>
      <c r="W10" s="181">
        <v>10</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81</v>
      </c>
      <c r="AZ10" s="129">
        <f t="shared" si="0"/>
        <v>18</v>
      </c>
      <c r="BA10" s="129">
        <f t="shared" si="0"/>
        <v>20</v>
      </c>
      <c r="BB10" s="129">
        <f t="shared" si="0"/>
        <v>79</v>
      </c>
      <c r="BC10" s="125">
        <f t="shared" si="0"/>
        <v>10</v>
      </c>
      <c r="BD10" s="126">
        <f>IF(ISNUMBER(BA10/AZ10),BA10/AZ10," - ")</f>
        <v>1.1111111111111112</v>
      </c>
      <c r="BE10" s="127">
        <f>IF(ISNUMBER(BB10/BA10),BB10/BA10, " - ")</f>
        <v>3.95</v>
      </c>
      <c r="BF10" s="127">
        <f>IF(ISNUMBER(BC10/BA10),BC10/BA10, " - ")</f>
        <v>0.5</v>
      </c>
      <c r="BG10" s="196">
        <f>IF(ISNUMBER((AY10+AZ10)/BA10),(AY10+AZ10)/BA10," - ")</f>
        <v>4.95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6006</v>
      </c>
      <c r="J12" s="183">
        <v>2886</v>
      </c>
      <c r="K12" s="183">
        <v>2414</v>
      </c>
      <c r="L12" s="183">
        <v>5814</v>
      </c>
      <c r="M12" s="183">
        <v>492</v>
      </c>
      <c r="N12" s="183">
        <v>1662</v>
      </c>
      <c r="O12" s="181">
        <v>768</v>
      </c>
      <c r="P12" s="183">
        <v>305</v>
      </c>
      <c r="Q12" s="183">
        <v>380</v>
      </c>
      <c r="R12" s="183">
        <v>6435</v>
      </c>
      <c r="S12" s="183">
        <v>5393</v>
      </c>
      <c r="T12" s="183">
        <v>2301</v>
      </c>
      <c r="U12" s="183">
        <v>2229</v>
      </c>
      <c r="V12" s="183">
        <v>5456</v>
      </c>
      <c r="W12" s="183">
        <v>507</v>
      </c>
      <c r="X12" s="189">
        <v>1271</v>
      </c>
      <c r="Y12" s="191">
        <v>185</v>
      </c>
      <c r="Z12" s="181">
        <v>380</v>
      </c>
      <c r="AA12" s="181">
        <v>363</v>
      </c>
      <c r="AB12" s="181">
        <v>200</v>
      </c>
      <c r="AC12" s="183">
        <v>0</v>
      </c>
      <c r="AD12" s="183">
        <v>0</v>
      </c>
      <c r="AE12" s="183">
        <v>0</v>
      </c>
      <c r="AF12" s="189">
        <v>0</v>
      </c>
      <c r="AG12" s="202">
        <v>158</v>
      </c>
      <c r="AH12" s="183">
        <v>356</v>
      </c>
      <c r="AI12" s="183">
        <v>368</v>
      </c>
      <c r="AJ12" s="203">
        <v>146</v>
      </c>
      <c r="AK12" s="182">
        <v>0</v>
      </c>
      <c r="AL12" s="183">
        <v>0</v>
      </c>
      <c r="AM12" s="183">
        <v>0</v>
      </c>
      <c r="AN12" s="189">
        <v>0</v>
      </c>
      <c r="AO12" s="259">
        <v>8</v>
      </c>
      <c r="AP12" s="155">
        <v>8</v>
      </c>
      <c r="AQ12" s="155">
        <v>8</v>
      </c>
      <c r="AR12" s="154">
        <v>8</v>
      </c>
      <c r="AS12" s="340" t="s">
        <v>801</v>
      </c>
      <c r="AT12" s="203"/>
      <c r="AU12" s="202"/>
      <c r="AV12" s="203"/>
      <c r="AW12" s="202"/>
      <c r="AX12" s="203"/>
      <c r="AY12" s="126">
        <f t="shared" si="1"/>
        <v>5551</v>
      </c>
      <c r="AZ12" s="127">
        <f t="shared" si="1"/>
        <v>2657</v>
      </c>
      <c r="BA12" s="127">
        <f t="shared" si="1"/>
        <v>2597</v>
      </c>
      <c r="BB12" s="127">
        <f t="shared" si="1"/>
        <v>5602</v>
      </c>
      <c r="BC12" s="125">
        <f>IF(ISNUMBER(X12),X12," - ")</f>
        <v>1271</v>
      </c>
      <c r="BD12" s="126">
        <f t="shared" si="2"/>
        <v>0.9774181407602559</v>
      </c>
      <c r="BE12" s="127">
        <f t="shared" si="3"/>
        <v>2.1571043511744321</v>
      </c>
      <c r="BF12" s="127">
        <f t="shared" si="4"/>
        <v>0.48941085868309586</v>
      </c>
      <c r="BG12" s="196">
        <f t="shared" si="5"/>
        <v>3.1605698883326916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6091</v>
      </c>
      <c r="J13" s="184">
        <f t="shared" si="6"/>
        <v>2905</v>
      </c>
      <c r="K13" s="184">
        <f t="shared" si="6"/>
        <v>2429</v>
      </c>
      <c r="L13" s="184">
        <f t="shared" si="6"/>
        <v>5852</v>
      </c>
      <c r="M13" s="184">
        <f t="shared" si="6"/>
        <v>499</v>
      </c>
      <c r="N13" s="184">
        <f t="shared" si="6"/>
        <v>1665</v>
      </c>
      <c r="O13" s="184">
        <f t="shared" si="6"/>
        <v>769</v>
      </c>
      <c r="P13" s="184">
        <f t="shared" si="6"/>
        <v>308</v>
      </c>
      <c r="Q13" s="184">
        <f t="shared" si="6"/>
        <v>382</v>
      </c>
      <c r="R13" s="184">
        <f t="shared" si="6"/>
        <v>6546</v>
      </c>
      <c r="S13" s="184">
        <f t="shared" si="6"/>
        <v>5474</v>
      </c>
      <c r="T13" s="184">
        <f t="shared" si="6"/>
        <v>2319</v>
      </c>
      <c r="U13" s="184">
        <f t="shared" si="6"/>
        <v>2249</v>
      </c>
      <c r="V13" s="184">
        <f t="shared" si="6"/>
        <v>5535</v>
      </c>
      <c r="W13" s="184">
        <f t="shared" si="6"/>
        <v>517</v>
      </c>
      <c r="X13" s="184">
        <f t="shared" si="6"/>
        <v>1277</v>
      </c>
      <c r="Y13" s="184">
        <f t="shared" si="6"/>
        <v>185</v>
      </c>
      <c r="Z13" s="184">
        <f t="shared" si="6"/>
        <v>380</v>
      </c>
      <c r="AA13" s="184">
        <f t="shared" si="6"/>
        <v>363</v>
      </c>
      <c r="AB13" s="184">
        <f t="shared" si="6"/>
        <v>200</v>
      </c>
      <c r="AC13" s="184">
        <f t="shared" si="6"/>
        <v>0</v>
      </c>
      <c r="AD13" s="184">
        <f t="shared" si="6"/>
        <v>0</v>
      </c>
      <c r="AE13" s="184">
        <f t="shared" si="6"/>
        <v>0</v>
      </c>
      <c r="AF13" s="184">
        <f>SUBTOTAL(9,AF9:AF12)</f>
        <v>0</v>
      </c>
      <c r="AG13" s="184">
        <f t="shared" ref="AG13:AT13" si="7">SUBTOTAL(9,AG8:AG12)</f>
        <v>158</v>
      </c>
      <c r="AH13" s="184">
        <f t="shared" si="7"/>
        <v>356</v>
      </c>
      <c r="AI13" s="184">
        <f t="shared" si="7"/>
        <v>368</v>
      </c>
      <c r="AJ13" s="184">
        <f t="shared" si="7"/>
        <v>146</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5632</v>
      </c>
      <c r="AZ13" s="184">
        <f>SUBTOTAL(9,AZ8:AZ12)</f>
        <v>2675</v>
      </c>
      <c r="BA13" s="184">
        <f>SUBTOTAL(9,BA8:BA12)</f>
        <v>2617</v>
      </c>
      <c r="BB13" s="184">
        <f>SUBTOTAL(9,BB8:BB12)</f>
        <v>5681</v>
      </c>
      <c r="BC13" s="184">
        <f>SUBTOTAL(9,BC8:BC12)</f>
        <v>1281</v>
      </c>
      <c r="BD13" s="205">
        <f>IF(ISNUMBER(BA13/AZ13),BA13/AZ13," - ")</f>
        <v>0.97831775700934576</v>
      </c>
      <c r="BE13" s="206">
        <f>IF(ISNUMBER(BB13/BA13),BB13/BA13, " - ")</f>
        <v>2.1708062667176158</v>
      </c>
      <c r="BF13" s="206">
        <f>IF(ISNUMBER(BC13/BA13),BC13/BA13, " - ")</f>
        <v>0.48949178448605274</v>
      </c>
      <c r="BG13" s="207">
        <f>IF(ISNUMBER((AY13+AZ13)/BA13),(AY13+AZ13)/BA13," - ")</f>
        <v>3.1742453190676345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2004</v>
      </c>
      <c r="J16" s="183">
        <v>1754</v>
      </c>
      <c r="K16" s="183">
        <v>1760</v>
      </c>
      <c r="L16" s="183">
        <v>1623</v>
      </c>
      <c r="M16" s="183">
        <v>192</v>
      </c>
      <c r="N16" s="183">
        <v>1109</v>
      </c>
      <c r="O16" s="181">
        <v>18</v>
      </c>
      <c r="P16" s="183">
        <v>43</v>
      </c>
      <c r="Q16" s="183">
        <v>41</v>
      </c>
      <c r="R16" s="183">
        <v>343</v>
      </c>
      <c r="S16" s="183">
        <v>1661</v>
      </c>
      <c r="T16" s="183">
        <v>1690</v>
      </c>
      <c r="U16" s="183">
        <v>1771</v>
      </c>
      <c r="V16" s="183">
        <v>1611</v>
      </c>
      <c r="W16" s="183">
        <v>234</v>
      </c>
      <c r="X16" s="189">
        <v>960</v>
      </c>
      <c r="Y16" s="202">
        <v>0</v>
      </c>
      <c r="Z16" s="183">
        <v>0</v>
      </c>
      <c r="AA16" s="183">
        <v>0</v>
      </c>
      <c r="AB16" s="183">
        <v>0</v>
      </c>
      <c r="AC16" s="183">
        <v>2</v>
      </c>
      <c r="AD16" s="183">
        <v>15</v>
      </c>
      <c r="AE16" s="183">
        <v>14</v>
      </c>
      <c r="AF16" s="189">
        <v>3</v>
      </c>
      <c r="AG16" s="202">
        <v>0</v>
      </c>
      <c r="AH16" s="183">
        <v>0</v>
      </c>
      <c r="AI16" s="183">
        <v>0</v>
      </c>
      <c r="AJ16" s="203">
        <v>0</v>
      </c>
      <c r="AK16" s="182">
        <v>1</v>
      </c>
      <c r="AL16" s="183">
        <v>21</v>
      </c>
      <c r="AM16" s="183">
        <v>22</v>
      </c>
      <c r="AN16" s="189">
        <v>0</v>
      </c>
      <c r="AO16" s="259">
        <v>8</v>
      </c>
      <c r="AP16" s="155">
        <v>8</v>
      </c>
      <c r="AQ16" s="155">
        <v>8</v>
      </c>
      <c r="AR16" s="155">
        <v>8</v>
      </c>
      <c r="AS16" s="340" t="s">
        <v>487</v>
      </c>
      <c r="AT16" s="203"/>
      <c r="AU16" s="202"/>
      <c r="AV16" s="203"/>
      <c r="AW16" s="202"/>
      <c r="AX16" s="203"/>
      <c r="AY16" s="126">
        <f t="shared" si="9"/>
        <v>1661</v>
      </c>
      <c r="AZ16" s="127">
        <f t="shared" si="9"/>
        <v>1690</v>
      </c>
      <c r="BA16" s="127">
        <f t="shared" si="9"/>
        <v>1771</v>
      </c>
      <c r="BB16" s="127">
        <f t="shared" si="9"/>
        <v>1611</v>
      </c>
      <c r="BC16" s="125">
        <f>IF(ISNUMBER(W16),W16," - ")</f>
        <v>234</v>
      </c>
      <c r="BD16" s="126">
        <f t="shared" ref="BD16" si="11">IF(ISNUMBER(BA16/AZ16),BA16/AZ16," - ")</f>
        <v>1.0479289940828402</v>
      </c>
      <c r="BE16" s="127">
        <f t="shared" ref="BE16" si="12">IF(ISNUMBER(BB16/BA16),BB16/BA16, " - ")</f>
        <v>0.90965556182947482</v>
      </c>
      <c r="BF16" s="127">
        <f t="shared" ref="BF16" si="13">IF(ISNUMBER(BC16/BA16),BC16/BA16, " - ")</f>
        <v>0.13212874082439299</v>
      </c>
      <c r="BG16" s="196">
        <f t="shared" si="10"/>
        <v>1.8921513269339356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66</v>
      </c>
      <c r="K17" s="183">
        <v>69</v>
      </c>
      <c r="L17" s="183">
        <v>46</v>
      </c>
      <c r="M17" s="183">
        <v>9</v>
      </c>
      <c r="N17" s="183">
        <v>68</v>
      </c>
      <c r="O17" s="183">
        <v>0</v>
      </c>
      <c r="P17" s="183">
        <v>0</v>
      </c>
      <c r="Q17" s="183">
        <v>0</v>
      </c>
      <c r="R17" s="183">
        <v>1</v>
      </c>
      <c r="S17" s="183">
        <v>48</v>
      </c>
      <c r="T17" s="183">
        <v>80</v>
      </c>
      <c r="U17" s="183">
        <v>88</v>
      </c>
      <c r="V17" s="183">
        <v>41</v>
      </c>
      <c r="W17" s="183">
        <v>10</v>
      </c>
      <c r="X17" s="189">
        <v>68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48</v>
      </c>
      <c r="AZ17" s="129">
        <f t="shared" si="14"/>
        <v>80</v>
      </c>
      <c r="BA17" s="129">
        <f t="shared" si="14"/>
        <v>88</v>
      </c>
      <c r="BB17" s="129">
        <f t="shared" si="14"/>
        <v>41</v>
      </c>
      <c r="BC17" s="125">
        <f>IF(ISNUMBER(W17),W17," - ")</f>
        <v>10</v>
      </c>
      <c r="BD17" s="126">
        <f>IF(ISNUMBER(BA17/AZ17),BA17/AZ17," - ")</f>
        <v>1.1000000000000001</v>
      </c>
      <c r="BE17" s="127">
        <f>IF(ISNUMBER(BB17/BA17),BB17/BA17, " - ")</f>
        <v>0.46590909090909088</v>
      </c>
      <c r="BF17" s="127">
        <f>IF(ISNUMBER(BC17/BA17),BC17/BA17, " - ")</f>
        <v>0.11363636363636363</v>
      </c>
      <c r="BG17" s="196">
        <f>IF(ISNUMBER((AY17+AZ17)/BA17),(AY17+AZ17)/BA17," - ")</f>
        <v>1.4545454545454546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2053</v>
      </c>
      <c r="J18" s="184">
        <f t="shared" si="15"/>
        <v>1820</v>
      </c>
      <c r="K18" s="184">
        <f t="shared" si="15"/>
        <v>1829</v>
      </c>
      <c r="L18" s="184">
        <f t="shared" si="15"/>
        <v>1669</v>
      </c>
      <c r="M18" s="184">
        <f t="shared" si="15"/>
        <v>201</v>
      </c>
      <c r="N18" s="184">
        <f t="shared" si="15"/>
        <v>1177</v>
      </c>
      <c r="O18" s="184">
        <f t="shared" si="15"/>
        <v>18</v>
      </c>
      <c r="P18" s="184">
        <f t="shared" si="15"/>
        <v>43</v>
      </c>
      <c r="Q18" s="184">
        <f t="shared" si="15"/>
        <v>41</v>
      </c>
      <c r="R18" s="184">
        <f t="shared" si="15"/>
        <v>344</v>
      </c>
      <c r="S18" s="184">
        <f t="shared" si="15"/>
        <v>1709</v>
      </c>
      <c r="T18" s="184">
        <f t="shared" si="15"/>
        <v>1770</v>
      </c>
      <c r="U18" s="184">
        <f t="shared" si="15"/>
        <v>1859</v>
      </c>
      <c r="V18" s="184">
        <f t="shared" si="15"/>
        <v>1652</v>
      </c>
      <c r="W18" s="184">
        <f t="shared" si="15"/>
        <v>244</v>
      </c>
      <c r="X18" s="184">
        <f t="shared" si="15"/>
        <v>1028</v>
      </c>
      <c r="Y18" s="184">
        <f t="shared" si="15"/>
        <v>0</v>
      </c>
      <c r="Z18" s="184">
        <f t="shared" si="15"/>
        <v>0</v>
      </c>
      <c r="AA18" s="184">
        <f t="shared" si="15"/>
        <v>0</v>
      </c>
      <c r="AB18" s="184">
        <f t="shared" si="15"/>
        <v>0</v>
      </c>
      <c r="AC18" s="184">
        <f t="shared" si="15"/>
        <v>2</v>
      </c>
      <c r="AD18" s="184">
        <f t="shared" si="15"/>
        <v>15</v>
      </c>
      <c r="AE18" s="184">
        <f t="shared" si="15"/>
        <v>14</v>
      </c>
      <c r="AF18" s="184">
        <f t="shared" si="15"/>
        <v>3</v>
      </c>
      <c r="AG18" s="184">
        <f t="shared" si="15"/>
        <v>0</v>
      </c>
      <c r="AH18" s="184">
        <f t="shared" si="15"/>
        <v>0</v>
      </c>
      <c r="AI18" s="184">
        <f t="shared" si="15"/>
        <v>0</v>
      </c>
      <c r="AJ18" s="184">
        <f t="shared" si="15"/>
        <v>0</v>
      </c>
      <c r="AK18" s="184">
        <f t="shared" si="15"/>
        <v>1</v>
      </c>
      <c r="AL18" s="184">
        <f t="shared" si="15"/>
        <v>21</v>
      </c>
      <c r="AM18" s="184">
        <f t="shared" si="15"/>
        <v>22</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1709</v>
      </c>
      <c r="AZ18" s="184">
        <f>SUBTOTAL(9,AZ14:AZ17)</f>
        <v>1770</v>
      </c>
      <c r="BA18" s="184">
        <f>SUBTOTAL(9,BA14:BA17)</f>
        <v>1859</v>
      </c>
      <c r="BB18" s="184">
        <f>SUBTOTAL(9,BB14:BB17)</f>
        <v>1652</v>
      </c>
      <c r="BC18" s="184">
        <f>SUBTOTAL(9,BC14:BC17)</f>
        <v>244</v>
      </c>
      <c r="BD18" s="205">
        <f>IF(ISNUMBER(BA18/AZ18),BA18/AZ18," - ")</f>
        <v>1.0502824858757063</v>
      </c>
      <c r="BE18" s="206">
        <f>IF(ISNUMBER(BB18/BA18),BB18/BA18, " - ")</f>
        <v>0.88864981172673485</v>
      </c>
      <c r="BF18" s="206">
        <f>IF(ISNUMBER(BC18/BA18),BC18/BA18, " - ")</f>
        <v>0.1312533620225928</v>
      </c>
      <c r="BG18" s="207">
        <f>IF(ISNUMBER((AY18+AZ18)/BA18),(AY18+AZ18)/BA18," - ")</f>
        <v>1.8714362560516407</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8144</v>
      </c>
      <c r="J19" s="134">
        <f t="shared" si="18"/>
        <v>4725</v>
      </c>
      <c r="K19" s="134">
        <f t="shared" si="18"/>
        <v>4258</v>
      </c>
      <c r="L19" s="134">
        <f t="shared" si="18"/>
        <v>7521</v>
      </c>
      <c r="M19" s="134">
        <f t="shared" si="18"/>
        <v>700</v>
      </c>
      <c r="N19" s="134">
        <f t="shared" si="18"/>
        <v>2842</v>
      </c>
      <c r="O19" s="134">
        <f t="shared" si="18"/>
        <v>787</v>
      </c>
      <c r="P19" s="134">
        <f t="shared" si="18"/>
        <v>351</v>
      </c>
      <c r="Q19" s="134">
        <f t="shared" si="18"/>
        <v>423</v>
      </c>
      <c r="R19" s="134">
        <f t="shared" si="18"/>
        <v>6890</v>
      </c>
      <c r="S19" s="134">
        <f t="shared" si="18"/>
        <v>7183</v>
      </c>
      <c r="T19" s="134">
        <f t="shared" si="18"/>
        <v>4089</v>
      </c>
      <c r="U19" s="134">
        <f t="shared" si="18"/>
        <v>4108</v>
      </c>
      <c r="V19" s="134">
        <f t="shared" si="18"/>
        <v>7187</v>
      </c>
      <c r="W19" s="134">
        <f t="shared" si="18"/>
        <v>761</v>
      </c>
      <c r="X19" s="134">
        <f t="shared" si="18"/>
        <v>2305</v>
      </c>
      <c r="Y19" s="134">
        <f t="shared" si="18"/>
        <v>185</v>
      </c>
      <c r="Z19" s="134">
        <f t="shared" si="18"/>
        <v>380</v>
      </c>
      <c r="AA19" s="134">
        <f t="shared" si="18"/>
        <v>363</v>
      </c>
      <c r="AB19" s="134">
        <f t="shared" si="18"/>
        <v>200</v>
      </c>
      <c r="AC19" s="134">
        <f t="shared" si="18"/>
        <v>2</v>
      </c>
      <c r="AD19" s="134">
        <f t="shared" si="18"/>
        <v>15</v>
      </c>
      <c r="AE19" s="134">
        <f t="shared" si="18"/>
        <v>14</v>
      </c>
      <c r="AF19" s="134">
        <f t="shared" si="18"/>
        <v>3</v>
      </c>
      <c r="AG19" s="134">
        <f t="shared" si="18"/>
        <v>158</v>
      </c>
      <c r="AH19" s="134">
        <f t="shared" si="18"/>
        <v>356</v>
      </c>
      <c r="AI19" s="134">
        <f t="shared" si="18"/>
        <v>368</v>
      </c>
      <c r="AJ19" s="134">
        <f t="shared" si="18"/>
        <v>146</v>
      </c>
      <c r="AK19" s="134">
        <f t="shared" si="18"/>
        <v>1</v>
      </c>
      <c r="AL19" s="134">
        <f t="shared" si="18"/>
        <v>21</v>
      </c>
      <c r="AM19" s="134">
        <f t="shared" si="18"/>
        <v>22</v>
      </c>
      <c r="AN19" s="210">
        <f t="shared" si="18"/>
        <v>0</v>
      </c>
      <c r="AO19" s="211">
        <v>9</v>
      </c>
      <c r="AP19" s="211">
        <v>8</v>
      </c>
      <c r="AQ19" s="211">
        <v>8</v>
      </c>
      <c r="AR19" s="211">
        <v>8</v>
      </c>
      <c r="AS19" s="153">
        <f t="shared" si="18"/>
        <v>0</v>
      </c>
      <c r="AT19" s="153">
        <f t="shared" si="18"/>
        <v>0</v>
      </c>
      <c r="AU19" s="211"/>
      <c r="AV19" s="212"/>
      <c r="AW19" s="211"/>
      <c r="AX19" s="212"/>
      <c r="AY19" s="133">
        <f>SUBTOTAL(9,AY9:AY18)</f>
        <v>7341</v>
      </c>
      <c r="AZ19" s="134">
        <f>SUBTOTAL(9,AZ9:AZ18)</f>
        <v>4445</v>
      </c>
      <c r="BA19" s="134">
        <f>SUBTOTAL(9,BA9:BA18)</f>
        <v>4476</v>
      </c>
      <c r="BB19" s="134">
        <f>SUBTOTAL(9,BB9:BB18)</f>
        <v>7333</v>
      </c>
      <c r="BC19" s="135">
        <f>SUBTOTAL(9,BC9:BC18)</f>
        <v>1525</v>
      </c>
      <c r="BD19" s="213">
        <f>IF(ISNUMBER(BA19/AZ19),BA19/AZ19," - ")</f>
        <v>1.0069741282339708</v>
      </c>
      <c r="BE19" s="210">
        <f>IF(ISNUMBER(BB19/BA19),BB19/BA19, " - ")</f>
        <v>1.6382931188561216</v>
      </c>
      <c r="BF19" s="210">
        <f>IF(ISNUMBER(BC19/BA19),BC19/BA19, " - ")</f>
        <v>0.3407059874888293</v>
      </c>
      <c r="BG19" s="135">
        <f>IF(ISNUMBER((AY19+AZ19)/BA19),(AY19+AZ19)/BA19," - ")</f>
        <v>2.6331546023235033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13bdacaHgISoJJMSAhLjIvZyp2GN5otpnsGEuEBXcoqZreDHBU9cnc6/nh7rA9ts7Te04aqnB7n+1BMyH4UMA==" saltValue="8I8oqAL3ek4eZ96kstDtI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Zv1S92jM5Nkm1emeN4pgZqt2b67+Zxn3VTXUf7Uv7je2EHPNIQiNXHH4C5PlDZxdy5LAc+Hfjmr7yVckOn4gg==" saltValue="FQh44AFBfbJ84CDvkZsrQ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2</v>
      </c>
      <c r="AD10" s="334"/>
      <c r="AE10" s="484"/>
      <c r="AF10" s="332">
        <f>IF(ISNUMBER(Datos!L10),Datos!L10,"-")</f>
        <v>38</v>
      </c>
      <c r="AG10" s="334"/>
      <c r="AH10" s="334"/>
      <c r="AI10" s="334"/>
      <c r="AJ10" s="334"/>
      <c r="AK10" s="334"/>
      <c r="AL10" s="479"/>
      <c r="AM10" s="335">
        <f>IF(ISNUMBER(Datos!R10),Datos!R10," - ")</f>
        <v>111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3</v>
      </c>
      <c r="BE10" s="229" t="str">
        <f>IF(ISNUMBER(Datos!BW10),Datos!BW10," - ")</f>
        <v xml:space="preserve"> - </v>
      </c>
      <c r="BF10" s="228" t="str">
        <f>IF(ISNUMBER(Datos!BX10),Datos!BX10," - ")</f>
        <v xml:space="preserve"> - </v>
      </c>
      <c r="BG10" s="243">
        <f>IF(ISNUMBER(Datos!K10/Datos!J10),Datos!K10/Datos!J10," - ")</f>
        <v>0.78947368421052633</v>
      </c>
      <c r="BH10" s="260">
        <f>IF(ISNUMBER(((Datos!L10/Datos!K10)*11)/factor_trimestre),((Datos!L10/Datos!K10)*11)/factor_trimestre," - ")</f>
        <v>7.6000000000000005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9.0909090909090905E-3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380</v>
      </c>
      <c r="O12" s="334"/>
      <c r="P12" s="334"/>
      <c r="Q12" s="226">
        <f>IF(ISNUMBER(Datos!P12),Datos!P12,0)</f>
        <v>305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200</v>
      </c>
      <c r="AI12" s="334" t="str">
        <f>IF(ISNUMBER(Datos!CD12),Datos!CD12,"-")</f>
        <v>-</v>
      </c>
      <c r="AJ12" s="334" t="str">
        <f>IF(ISNUMBER(Datos!EN12),Datos!EN12," - ")</f>
        <v xml:space="preserve"> - </v>
      </c>
      <c r="AK12" s="334"/>
      <c r="AL12" s="479"/>
      <c r="AM12" s="335">
        <f>IF(ISNUMBER(Datos!R12),Datos!R12," - ")</f>
        <v>6435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492</v>
      </c>
      <c r="BD12" s="229">
        <f>IF(ISNUMBER(Datos!N12),Datos!N12," - ")</f>
        <v>1662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0.85027556644213109</v>
      </c>
      <c r="BH12" s="260">
        <f>IF(ISNUMBER(((IF(J_V="SI",Datos!L12/Datos!K12,(Datos!L12+Datos!AB12)/(Datos!K12+Datos!AA12)))*11)/factor_trimestre),((IF(J_V="SI",Datos!L12/Datos!K12,(Datos!L12+Datos!AB12)/(Datos!K12+Datos!AA12)))*11)/factor_trimestre," - ")</f>
        <v>6.4969391429600281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-1.1520737327188941E-2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34</v>
      </c>
      <c r="G13" s="898">
        <f t="shared" si="0"/>
        <v>85</v>
      </c>
      <c r="H13" s="899">
        <f t="shared" si="0"/>
        <v>0</v>
      </c>
      <c r="I13" s="898">
        <f t="shared" si="0"/>
        <v>0</v>
      </c>
      <c r="J13" s="867">
        <f t="shared" si="0"/>
        <v>0</v>
      </c>
      <c r="K13" s="867">
        <f t="shared" si="0"/>
        <v>0</v>
      </c>
      <c r="L13" s="899">
        <f t="shared" si="0"/>
        <v>0</v>
      </c>
      <c r="M13" s="899">
        <f t="shared" si="0"/>
        <v>0</v>
      </c>
      <c r="N13" s="899">
        <f t="shared" si="0"/>
        <v>380</v>
      </c>
      <c r="O13" s="900">
        <f t="shared" si="0"/>
        <v>0</v>
      </c>
      <c r="P13" s="900">
        <f t="shared" si="0"/>
        <v>0</v>
      </c>
      <c r="Q13" s="899">
        <f t="shared" si="0"/>
        <v>308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382</v>
      </c>
      <c r="AD13" s="899">
        <f t="shared" si="1"/>
        <v>0</v>
      </c>
      <c r="AE13" s="899">
        <f t="shared" si="1"/>
        <v>0</v>
      </c>
      <c r="AF13" s="899">
        <f t="shared" si="1"/>
        <v>38</v>
      </c>
      <c r="AG13" s="899">
        <f t="shared" si="1"/>
        <v>0</v>
      </c>
      <c r="AH13" s="899">
        <f t="shared" si="1"/>
        <v>200</v>
      </c>
      <c r="AI13" s="899">
        <f t="shared" si="1"/>
        <v>0</v>
      </c>
      <c r="AJ13" s="899">
        <f t="shared" si="1"/>
        <v>0</v>
      </c>
      <c r="AK13" s="899">
        <f t="shared" si="1"/>
        <v>0</v>
      </c>
      <c r="AL13" s="899">
        <f t="shared" si="1"/>
        <v>0</v>
      </c>
      <c r="AM13" s="899">
        <f t="shared" si="1"/>
        <v>6546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499</v>
      </c>
      <c r="BD13" s="899">
        <f t="shared" si="1"/>
        <v>1665</v>
      </c>
      <c r="BE13" s="899">
        <f t="shared" si="1"/>
        <v>0</v>
      </c>
      <c r="BF13" s="899">
        <f t="shared" si="1"/>
        <v>0</v>
      </c>
      <c r="BG13" s="899">
        <f>IF(ISNUMBER(Datos!K13/Datos!J13),Datos!K13/Datos!J13," - ")</f>
        <v>0.83614457831325306</v>
      </c>
      <c r="BH13" s="903">
        <f>IF(ISNUMBER(((Datos!L13/Datos!K13)*11)/factor_trimestre),((Datos!L13/Datos!K13)*11)/factor_trimestre," - ")</f>
        <v>7.2276657060518739</v>
      </c>
      <c r="BI13" s="899">
        <f>IF(ISNUMBER('Resol  Asuntos'!D13/NºAsuntos!G13),'Resol  Asuntos'!D13/NºAsuntos!G13," - ")</f>
        <v>0.17872492836676218</v>
      </c>
      <c r="BJ13" s="899" t="str">
        <f>IF(ISNUMBER(Datos!CI13/Datos!CJ13),Datos!CI13/Datos!CJ13," - ")</f>
        <v xml:space="preserve"> - </v>
      </c>
      <c r="BK13" s="899">
        <f>SUBTOTAL(9,BK8:BK12)</f>
        <v>0</v>
      </c>
      <c r="BL13" s="899">
        <f>IF(ISNUMBER((I13-AB13+L13)/(F13)),(I13-AB13+L13)/(F13)," - ")</f>
        <v>-0.44117647058823528</v>
      </c>
      <c r="BM13" s="904">
        <f>SUBTOTAL(9,BM9:BM12)</f>
        <v>-2.42982823627985E-3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1629</v>
      </c>
      <c r="G16" s="598">
        <f>IF(ISNUMBER(IF(D_I="SI",Datos!I16,Datos!I16+Datos!AC16)),IF(D_I="SI",Datos!I16,Datos!I16+Datos!AC16)," - ")</f>
        <v>2004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1760</v>
      </c>
      <c r="AC16" s="226">
        <f>IF(ISNUMBER(Datos!Q16),Datos!Q16," - ")</f>
        <v>41</v>
      </c>
      <c r="AD16" s="334"/>
      <c r="AE16" s="484"/>
      <c r="AF16" s="596">
        <f>IF(ISNUMBER(IF(D_I="SI",Datos!L16,Datos!L16+Datos!AF16)),IF(D_I="SI",Datos!L16,Datos!L16+Datos!AF16)," - ")</f>
        <v>1623</v>
      </c>
      <c r="AG16" s="334"/>
      <c r="AH16" s="334"/>
      <c r="AI16" s="334"/>
      <c r="AJ16" s="334"/>
      <c r="AK16" s="334"/>
      <c r="AL16" s="479"/>
      <c r="AM16" s="335">
        <f>IF(ISNUMBER(Datos!R16),Datos!R16," - ")</f>
        <v>343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192</v>
      </c>
      <c r="BD16" s="229">
        <f>IF(ISNUMBER(Datos!N16),Datos!N16," - ")</f>
        <v>1109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1.0034207525655645</v>
      </c>
      <c r="BH16" s="260">
        <f>IF(ISNUMBER(((IF(D_I="SI",Datos!L16/Datos!K16,(Datos!L16+Datos!AF16)/(Datos!K16+Datos!AE16)))*11)/factor_trimestre),((IF(D_I="SI",Datos!L16/Datos!K16,(Datos!L16+Datos!AF16)/(Datos!K16+Datos!AE16)))*11)/factor_trimestre," - ")</f>
        <v>2.7664772727272724</v>
      </c>
      <c r="BI16" s="243">
        <f>IF(ISNUMBER('Resol  Asuntos'!D16/NºAsuntos!G16),'Resol  Asuntos'!D16/NºAsuntos!G16," - ")</f>
        <v>0.10909090909090909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69</v>
      </c>
      <c r="AC17" s="226">
        <f>IF(ISNUMBER(Datos!Q17),Datos!Q17," - ")</f>
        <v>0</v>
      </c>
      <c r="AD17" s="334"/>
      <c r="AE17" s="484"/>
      <c r="AF17" s="332">
        <f>IF(ISNUMBER(Datos!L17),Datos!L17,"-")</f>
        <v>46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68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1.0454545454545454</v>
      </c>
      <c r="BH17" s="260">
        <f>IF(ISNUMBER(((IF(D_I="SI",Datos!L17/Datos!K17,(Datos!L17+Datos!AF17)/(Datos!K17+Datos!AE17)))*11)/factor_trimestre),((IF(D_I="SI",Datos!L17/Datos!K17,(Datos!L17+Datos!AF17)/(Datos!K17+Datos!AE17)))*11)/factor_trimestre," - ")</f>
        <v>2</v>
      </c>
      <c r="BI17" s="243">
        <f>IF(ISNUMBER('Resol  Asuntos'!D17/NºAsuntos!G17),'Resol  Asuntos'!D17/NºAsuntos!G17," - ")</f>
        <v>0.13043478260869565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1629</v>
      </c>
      <c r="G18" s="898">
        <f>SUBTOTAL(9,G15:G17)</f>
        <v>2053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1829</v>
      </c>
      <c r="AC18" s="899">
        <f t="shared" si="4"/>
        <v>41</v>
      </c>
      <c r="AD18" s="899">
        <f t="shared" si="4"/>
        <v>0</v>
      </c>
      <c r="AE18" s="899">
        <f t="shared" si="4"/>
        <v>0</v>
      </c>
      <c r="AF18" s="899">
        <f t="shared" si="4"/>
        <v>1669</v>
      </c>
      <c r="AG18" s="899">
        <f t="shared" si="4"/>
        <v>0</v>
      </c>
      <c r="AH18" s="899">
        <f t="shared" si="4"/>
        <v>0</v>
      </c>
      <c r="AI18" s="899">
        <f t="shared" si="4"/>
        <v>0</v>
      </c>
      <c r="AJ18" s="899">
        <f t="shared" si="4"/>
        <v>0</v>
      </c>
      <c r="AK18" s="899">
        <f t="shared" si="4"/>
        <v>0</v>
      </c>
      <c r="AL18" s="899">
        <f t="shared" si="4"/>
        <v>0</v>
      </c>
      <c r="AM18" s="899">
        <f t="shared" si="4"/>
        <v>344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201</v>
      </c>
      <c r="BD18" s="899">
        <f t="shared" si="4"/>
        <v>1177</v>
      </c>
      <c r="BE18" s="899">
        <f t="shared" si="4"/>
        <v>0</v>
      </c>
      <c r="BF18" s="899">
        <f t="shared" si="4"/>
        <v>0</v>
      </c>
      <c r="BG18" s="899">
        <f>IF(ISNUMBER(Datos!K18/Datos!J18),Datos!K18/Datos!J18," - ")</f>
        <v>1.0049450549450549</v>
      </c>
      <c r="BH18" s="903">
        <f>IF(ISNUMBER(((Datos!L18/Datos!K18)*11)/factor_trimestre),((Datos!L18/Datos!K18)*11)/factor_trimestre," - ")</f>
        <v>2.7375615090213232</v>
      </c>
      <c r="BI18" s="899">
        <f>SUBTOTAL(9,BI15:BI17)</f>
        <v>0.23952569169960475</v>
      </c>
      <c r="BJ18" s="899">
        <f>SUBTOTAL(9,BJ15:BJ17)</f>
        <v>0</v>
      </c>
      <c r="BK18" s="899">
        <f>SUBTOTAL(9,BK15:BK17)</f>
        <v>0</v>
      </c>
      <c r="BL18" s="899">
        <f>IF(ISNUMBER((I18-AB18+L18)/(F18)),(I18-AB18+L18)/(F18)," - ")</f>
        <v>-1.1227747084100674</v>
      </c>
      <c r="BM18" s="905">
        <f>IF(ISNUMBER((Datos!P18-Datos!Q18)/(Datos!R18-Datos!P18+Datos!Q18)),(Datos!P18-Datos!Q18)/(Datos!R18-Datos!P18+Datos!Q18)," - ")</f>
        <v>5.8479532163742687E-3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1663</v>
      </c>
      <c r="G19" s="820">
        <f t="shared" si="6"/>
        <v>2138</v>
      </c>
      <c r="H19" s="822">
        <f t="shared" si="6"/>
        <v>0</v>
      </c>
      <c r="I19" s="820">
        <f t="shared" si="6"/>
        <v>0</v>
      </c>
      <c r="J19" s="822">
        <f t="shared" si="6"/>
        <v>0</v>
      </c>
      <c r="K19" s="822">
        <f t="shared" si="6"/>
        <v>0</v>
      </c>
      <c r="L19" s="881">
        <f t="shared" si="6"/>
        <v>0</v>
      </c>
      <c r="M19" s="881">
        <f t="shared" si="6"/>
        <v>0</v>
      </c>
      <c r="N19" s="881">
        <f t="shared" si="6"/>
        <v>380</v>
      </c>
      <c r="O19" s="881">
        <f t="shared" si="6"/>
        <v>0</v>
      </c>
      <c r="P19" s="881">
        <f t="shared" si="6"/>
        <v>0</v>
      </c>
      <c r="Q19" s="822">
        <f t="shared" si="6"/>
        <v>351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1844</v>
      </c>
      <c r="AC19" s="821">
        <f t="shared" si="7"/>
        <v>423</v>
      </c>
      <c r="AD19" s="821">
        <f t="shared" si="7"/>
        <v>0</v>
      </c>
      <c r="AE19" s="821">
        <f t="shared" si="7"/>
        <v>0</v>
      </c>
      <c r="AF19" s="828">
        <f t="shared" si="7"/>
        <v>1707</v>
      </c>
      <c r="AG19" s="828">
        <f t="shared" si="7"/>
        <v>0</v>
      </c>
      <c r="AH19" s="828">
        <f t="shared" si="7"/>
        <v>200</v>
      </c>
      <c r="AI19" s="828">
        <f t="shared" si="7"/>
        <v>0</v>
      </c>
      <c r="AJ19" s="821">
        <f t="shared" si="7"/>
        <v>0</v>
      </c>
      <c r="AK19" s="828">
        <f t="shared" si="7"/>
        <v>0</v>
      </c>
      <c r="AL19" s="828">
        <f t="shared" si="7"/>
        <v>0</v>
      </c>
      <c r="AM19" s="828">
        <f t="shared" si="7"/>
        <v>6890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700</v>
      </c>
      <c r="BD19" s="820">
        <f t="shared" si="7"/>
        <v>2842</v>
      </c>
      <c r="BE19" s="820">
        <f t="shared" si="7"/>
        <v>0</v>
      </c>
      <c r="BF19" s="830">
        <f t="shared" si="7"/>
        <v>0</v>
      </c>
      <c r="BG19" s="915">
        <f>IF(ISNUMBER(Datos!K19/Datos!J19),Datos!K19/Datos!J19," - ")</f>
        <v>0.90116402116402117</v>
      </c>
      <c r="BH19" s="915">
        <f>IF(ISNUMBER(((Datos!L19/Datos!K19)*11)/factor_trimestre),((Datos!L19/Datos!K19)*11)/factor_trimestre," - ")</f>
        <v>5.2989666510098639</v>
      </c>
      <c r="BI19" s="813">
        <f>IF(ISNUMBER(Datos!J19/Datos!I19),Datos!J19/Datos!I19," - ")</f>
        <v>0.58018172888015718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-1.1088394467829223</v>
      </c>
      <c r="BM19" s="889">
        <f>IF(ISNUMBER((Datos!P19-Datos!Q19+R19)/(Datos!R19-Datos!P19+Datos!Q19-R19)),(Datos!P19-Datos!Q19+R19)/(Datos!R19-Datos!P19+Datos!Q19-R19)," - ")</f>
        <v>-1.0341855788566504E-2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855.2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920.87367935745317</v>
      </c>
      <c r="G21" s="552">
        <f>IF(ISNUMBER(STDEV(G8:G18)),STDEV(G8:G18),"-")</f>
        <v>1071.3123727466234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965.3733992606177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219.906040541561</v>
      </c>
      <c r="BD21" s="551"/>
      <c r="BE21" s="551">
        <f>IF(ISNUMBER(STDEV(BE8:BE18)),STDEV(BE8:BE18),"-")</f>
        <v>0</v>
      </c>
      <c r="BF21" s="556">
        <f>IF(ISNUMBER(STDEV(BF8:BF18)),STDEV(BF8:BF18),"-")</f>
        <v>0</v>
      </c>
      <c r="BG21" s="775">
        <f>IF(ISNUMBER(STDEV(BG8:BG18)),STDEV(BG8:BG18),"-")</f>
        <v>0.10846948624671508</v>
      </c>
      <c r="BH21" s="776">
        <f>IF(ISNUMBER(STDEV(BH8:BH18)),STDEV(BH8:BH18),"-")</f>
        <v>2.5628848473439008</v>
      </c>
      <c r="BI21" s="249">
        <f>IF(ISNUMBER(STDEV(BI8:BI18)),STDEV(BI8:BI18),"-")</f>
        <v>5.7913144403856726E-2</v>
      </c>
      <c r="BJ21" s="230" t="str">
        <f>IF(ISNUMBER(BL21/BM21),BL21/BM21," - ")</f>
        <v xml:space="preserve"> - </v>
      </c>
      <c r="BK21" s="575"/>
      <c r="BL21" s="559">
        <f>IF(ISNUMBER(STDEV(BL8:BL18)),STDEV(BL8:BL18),"-")</f>
        <v>0.48196273600861883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6CsdWDTw4Fjw2ZoX/kEJ01SnHD/mmilJSc+ozBlhP69+1uLxrT+9M5cEzyAuHR+UbwiV/yts6SB7ypvUfhsHQ==" saltValue="/Aj/MoBJKw8pa6AlGgpJ7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MAJADAHONDA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2</v>
      </c>
      <c r="AA10" s="332">
        <f>IF(ISNUMBER(Datos!L10),Datos!L10,"-")</f>
        <v>38</v>
      </c>
      <c r="AB10" s="334"/>
      <c r="AC10" s="334"/>
      <c r="AD10" s="484"/>
      <c r="AE10" s="484">
        <f>IF(ISNUMBER(Datos!R10),Datos!R10," - ")</f>
        <v>111</v>
      </c>
      <c r="AF10" s="229" t="str">
        <f>IF(ISNUMBER(Datos!BV10),Datos!BV10," - ")</f>
        <v xml:space="preserve"> - </v>
      </c>
      <c r="AG10" s="225" t="str">
        <f>IF(ISNUMBER(Datos!DV10),Datos!DV10," - ")</f>
        <v xml:space="preserve"> - </v>
      </c>
      <c r="AH10" s="298"/>
      <c r="AI10" s="227"/>
      <c r="AJ10" s="225">
        <f>IF(ISNUMBER(Datos!M10),Datos!M10," - ")</f>
        <v>7</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7.6000000000000005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9.0909090909090905E-3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380</v>
      </c>
      <c r="AA12" s="332" t="str">
        <f>IF(ISNUMBER(IF(J_V="SI",Datos!L12,Datos!L12+Datos!AB12)-IF(Monitorios="SI",Datos!CD12,0)),
                          IF(J_V="SI",Datos!L12,Datos!L12+Datos!AB12)-IF(Monitorios="SI",Datos!CD12,0),
                          " - ")</f>
        <v xml:space="preserve"> - </v>
      </c>
      <c r="AB12" s="334"/>
      <c r="AC12" s="334"/>
      <c r="AD12" s="484"/>
      <c r="AE12" s="484">
        <f>IF(ISNUMBER(Datos!R12),Datos!R12," - ")</f>
        <v>6435</v>
      </c>
      <c r="AF12" s="229" t="str">
        <f>IF(ISNUMBER(Datos!BV12),Datos!BV12," - ")</f>
        <v xml:space="preserve"> - </v>
      </c>
      <c r="AG12" s="225" t="str">
        <f>IF(ISNUMBER(Datos!DV12),Datos!DV12," - ")</f>
        <v xml:space="preserve"> - </v>
      </c>
      <c r="AH12" s="298"/>
      <c r="AI12" s="227"/>
      <c r="AJ12" s="225">
        <f>IF(ISNUMBER(Datos!M12),Datos!M12," - ")</f>
        <v>492</v>
      </c>
      <c r="AK12" s="229">
        <f>IF(ISNUMBER(Datos!N12),Datos!N12," - ")</f>
        <v>1662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6.4969391429600281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-1.1520737327188941E-2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34</v>
      </c>
      <c r="G13" s="898">
        <f>SUBTOTAL(9,G8:G12)</f>
        <v>85</v>
      </c>
      <c r="H13" s="908"/>
      <c r="I13" s="898">
        <f t="shared" ref="I13:N13" si="0">SUBTOTAL(9,I8:I12)</f>
        <v>0</v>
      </c>
      <c r="J13" s="867">
        <f t="shared" si="0"/>
        <v>0</v>
      </c>
      <c r="K13" s="908">
        <f t="shared" si="0"/>
        <v>0</v>
      </c>
      <c r="L13" s="908">
        <f t="shared" si="0"/>
        <v>0</v>
      </c>
      <c r="M13" s="908">
        <f t="shared" si="0"/>
        <v>0</v>
      </c>
      <c r="N13" s="908">
        <f t="shared" si="0"/>
        <v>308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382</v>
      </c>
      <c r="AA13" s="900">
        <f t="shared" si="2"/>
        <v>38</v>
      </c>
      <c r="AB13" s="900">
        <f t="shared" si="2"/>
        <v>0</v>
      </c>
      <c r="AC13" s="900">
        <f t="shared" si="2"/>
        <v>0</v>
      </c>
      <c r="AD13" s="900">
        <f t="shared" si="2"/>
        <v>0</v>
      </c>
      <c r="AE13" s="900">
        <f t="shared" si="2"/>
        <v>6546</v>
      </c>
      <c r="AF13" s="908">
        <f t="shared" si="2"/>
        <v>0</v>
      </c>
      <c r="AG13" s="908">
        <f t="shared" si="2"/>
        <v>0</v>
      </c>
      <c r="AH13" s="908">
        <f t="shared" si="2"/>
        <v>0</v>
      </c>
      <c r="AI13" s="908">
        <f t="shared" si="2"/>
        <v>0</v>
      </c>
      <c r="AJ13" s="908">
        <f t="shared" si="2"/>
        <v>499</v>
      </c>
      <c r="AK13" s="908">
        <f t="shared" si="2"/>
        <v>1665</v>
      </c>
      <c r="AL13" s="908">
        <f t="shared" si="2"/>
        <v>0</v>
      </c>
      <c r="AM13" s="908">
        <f t="shared" si="2"/>
        <v>0</v>
      </c>
      <c r="AN13" s="908">
        <f t="shared" si="2"/>
        <v>0</v>
      </c>
      <c r="AO13" s="904">
        <f>IF(ISNUMBER(((NºAsuntos!I13/NºAsuntos!G13)*11)/factor_trimestre),((NºAsuntos!I13/NºAsuntos!G13)*11)/factor_trimestre," - ")</f>
        <v>6.5028653295128942</v>
      </c>
      <c r="AP13" s="910" t="str">
        <f>IF(ISNUMBER(Datos!CI13/Datos!CJ13),Datos!CI13/Datos!CJ13," - ")</f>
        <v xml:space="preserve"> - </v>
      </c>
      <c r="AQ13" s="928">
        <f t="shared" ref="AQ13:AV13" si="3">SUBTOTAL(9,AQ9:AQ12)</f>
        <v>0</v>
      </c>
      <c r="AR13" s="928">
        <f t="shared" si="3"/>
        <v>-2.42982823627985E-3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1629</v>
      </c>
      <c r="G16" s="225">
        <f>IF(ISNUMBER(IF(D_I="SI",Datos!I16,Datos!I16+Datos!AC16)),IF(D_I="SI",Datos!I16,Datos!I16+Datos!AC16)," - ")</f>
        <v>2004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1760</v>
      </c>
      <c r="Z16" s="619">
        <f>IF(ISNUMBER(Datos!Q16),Datos!Q16," - ")</f>
        <v>41</v>
      </c>
      <c r="AA16" s="332">
        <f>IF(ISNUMBER(IF(D_I="SI",Datos!L16,Datos!L16+Datos!AF16)),IF(D_I="SI",Datos!L16,Datos!L16+Datos!AF16)," - ")</f>
        <v>1623</v>
      </c>
      <c r="AB16" s="334"/>
      <c r="AC16" s="334"/>
      <c r="AD16" s="484"/>
      <c r="AE16" s="484">
        <f>IF(ISNUMBER(Datos!R16),Datos!R16," - ")</f>
        <v>343</v>
      </c>
      <c r="AF16" s="229" t="str">
        <f>IF(ISNUMBER(Datos!BV16),Datos!BV16," - ")</f>
        <v xml:space="preserve"> - </v>
      </c>
      <c r="AG16" s="225"/>
      <c r="AH16" s="298"/>
      <c r="AI16" s="227"/>
      <c r="AJ16" s="225">
        <f>IF(ISNUMBER(Datos!M16),Datos!M16," - ")</f>
        <v>192</v>
      </c>
      <c r="AK16" s="229">
        <f>IF(ISNUMBER(Datos!N16),Datos!N16," - ")</f>
        <v>1109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2.7664772727272724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69</v>
      </c>
      <c r="Z17" s="619">
        <f>IF(ISNUMBER(Datos!Q17),Datos!Q17," - ")</f>
        <v>0</v>
      </c>
      <c r="AA17" s="332">
        <f>IF(ISNUMBER(Datos!L17),Datos!L17,"-")</f>
        <v>46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9</v>
      </c>
      <c r="AK17" s="229">
        <f>IF(ISNUMBER(Datos!N17),Datos!N17," - ")</f>
        <v>68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1629</v>
      </c>
      <c r="G18" s="898">
        <f>SUBTOTAL(9,G15:G17)</f>
        <v>2053</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1829</v>
      </c>
      <c r="Z18" s="932">
        <f t="shared" si="5"/>
        <v>41</v>
      </c>
      <c r="AA18" s="932">
        <f t="shared" si="5"/>
        <v>1669</v>
      </c>
      <c r="AB18" s="932">
        <f t="shared" si="5"/>
        <v>0</v>
      </c>
      <c r="AC18" s="932">
        <f t="shared" si="5"/>
        <v>0</v>
      </c>
      <c r="AD18" s="932">
        <f t="shared" si="5"/>
        <v>0</v>
      </c>
      <c r="AE18" s="932">
        <f t="shared" si="5"/>
        <v>344</v>
      </c>
      <c r="AF18" s="932">
        <f t="shared" si="5"/>
        <v>0</v>
      </c>
      <c r="AG18" s="932">
        <f t="shared" si="5"/>
        <v>0</v>
      </c>
      <c r="AH18" s="932">
        <f t="shared" si="5"/>
        <v>0</v>
      </c>
      <c r="AI18" s="932">
        <f t="shared" si="5"/>
        <v>0</v>
      </c>
      <c r="AJ18" s="932">
        <f t="shared" si="5"/>
        <v>201</v>
      </c>
      <c r="AK18" s="932">
        <f t="shared" si="5"/>
        <v>1177</v>
      </c>
      <c r="AL18" s="932">
        <f t="shared" si="5"/>
        <v>0</v>
      </c>
      <c r="AM18" s="932">
        <f t="shared" si="5"/>
        <v>0</v>
      </c>
      <c r="AN18" s="932">
        <f t="shared" si="5"/>
        <v>0</v>
      </c>
      <c r="AO18" s="934">
        <f>IF(ISNUMBER(((NºAsuntos!I18/NºAsuntos!G18)*11)/factor_trimestre),((NºAsuntos!I18/NºAsuntos!G18)*11)/factor_trimestre," - ")</f>
        <v>2.7375615090213232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1663</v>
      </c>
      <c r="G19" s="820">
        <f t="shared" si="7"/>
        <v>2138</v>
      </c>
      <c r="H19" s="821">
        <f t="shared" si="7"/>
        <v>0</v>
      </c>
      <c r="I19" s="820">
        <f t="shared" si="7"/>
        <v>0</v>
      </c>
      <c r="J19" s="822">
        <f t="shared" si="7"/>
        <v>0</v>
      </c>
      <c r="K19" s="820">
        <f t="shared" si="7"/>
        <v>0</v>
      </c>
      <c r="L19" s="823">
        <f t="shared" si="7"/>
        <v>0</v>
      </c>
      <c r="M19" s="820">
        <f t="shared" si="7"/>
        <v>0</v>
      </c>
      <c r="N19" s="821">
        <f t="shared" si="7"/>
        <v>351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1844</v>
      </c>
      <c r="Z19" s="827">
        <f t="shared" si="8"/>
        <v>423</v>
      </c>
      <c r="AA19" s="828">
        <f t="shared" si="8"/>
        <v>1707</v>
      </c>
      <c r="AB19" s="828">
        <f t="shared" si="8"/>
        <v>0</v>
      </c>
      <c r="AC19" s="828">
        <f t="shared" si="8"/>
        <v>0</v>
      </c>
      <c r="AD19" s="829">
        <f t="shared" si="8"/>
        <v>0</v>
      </c>
      <c r="AE19" s="829">
        <f t="shared" si="8"/>
        <v>6890</v>
      </c>
      <c r="AF19" s="830">
        <f t="shared" si="8"/>
        <v>0</v>
      </c>
      <c r="AG19" s="831">
        <f t="shared" si="8"/>
        <v>0</v>
      </c>
      <c r="AH19" s="832">
        <f t="shared" si="8"/>
        <v>0</v>
      </c>
      <c r="AI19" s="830">
        <f t="shared" si="8"/>
        <v>0</v>
      </c>
      <c r="AJ19" s="820">
        <f t="shared" si="8"/>
        <v>700</v>
      </c>
      <c r="AK19" s="820">
        <f t="shared" si="8"/>
        <v>2842</v>
      </c>
      <c r="AL19" s="820">
        <f t="shared" si="8"/>
        <v>0</v>
      </c>
      <c r="AM19" s="833">
        <f t="shared" si="8"/>
        <v>0</v>
      </c>
      <c r="AN19" s="823">
        <f>IF(ISNUMBER(Datos!K19/Datos!J19),Datos!K19/Datos!J19," - ")</f>
        <v>0.90116402116402117</v>
      </c>
      <c r="AO19" s="823">
        <f>IF(ISNUMBER(FIND("06",Criterios!A8,1)),(IF(ISNUMBER(((Datos!R19/Datos!Q19)*11)/factor_trimestre),((Datos!R19/Datos!Q19)*11)/factor_trimestre," - ")),(IF(ISNUMBER(((Datos!L19/Datos!K19)*11)/factor_trimestre),((Datos!L19/Datos!K19)*11)/factor_trimestre," - ")))</f>
        <v>5.2989666510098639</v>
      </c>
      <c r="AP19" s="834" t="str">
        <f>IF(ISNUMBER(Datos!CI19/Datos!CJ19),Datos!CI19/Datos!CJ19," - ")</f>
        <v xml:space="preserve"> - </v>
      </c>
      <c r="AQ19" s="834">
        <f>IF(OR(ISNUMBER(FIND("01",Criterios!A8,1)),ISNUMBER(FIND("02",Criterios!A8,1)),ISNUMBER(FIND("03",Criterios!A8,1)),ISNUMBER(FIND("04",Criterios!A8,1))),(J19-Y19+K19)/(F19-K19),(I19-Y19+K19)/(F19-K19))</f>
        <v>-1.1088394467829223</v>
      </c>
      <c r="AR19" s="834">
        <f>IF(ISNUMBER((Datos!P19-Datos!Q19+O19)/(Datos!R19-Datos!P19+Datos!Q19-O19)),(Datos!P19-Datos!Q19+O19)/(Datos!R19-Datos!P19+Datos!Q19-O19)," - ")</f>
        <v>-1.0341855788566504E-2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855.2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920.87367935745317</v>
      </c>
      <c r="G21" s="552">
        <f>IF(ISNUMBER(STDEV(G8:G18)),STDEV(G8:G18),"-")</f>
        <v>1071.3123727466234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219.906040541561</v>
      </c>
      <c r="AK21" s="252"/>
      <c r="AL21" s="252">
        <f>IF(ISNUMBER(STDEV(AL8:AL18)),STDEV(AL8:AL18),"-")</f>
        <v>0</v>
      </c>
      <c r="AM21" s="254">
        <f>IF(ISNUMBER(STDEV(AM8:AM18)),STDEV(AM8:AM18),"-")</f>
        <v>0</v>
      </c>
      <c r="AN21" s="539">
        <f>IF(ISNUMBER(STDEV(AN8:AN18)),STDEV(AN8:AN18),"-")</f>
        <v>0</v>
      </c>
      <c r="AO21" s="540">
        <f>IF(ISNUMBER(STDEV(AO8:AO18)),STDEV(AO8:AO18),"-")</f>
        <v>2.4399773616841869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Mx6nyzEas9/W1Zfs04ooftbw3YtrdRxCDOUT49UAGPm2s0roX4FiS6wrcKVhe0X67ZBL5xij/rxHOLXiKEI1og==" saltValue="Ms++Q83c7I8vo/VImqheR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Nk07E8pcxuaFFiNnjNvxaz8EgeVGCp9xs29LZLzEi7ufCCBrFeVsTlJ8RiiaAVYZrhQ//rl6Dx0OgGgbETPKA==" saltValue="TvknSihBBMc9GOCT4uWMm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41Mesb+i9gDFNhQdH7nJYvnL048UtkfsI3XCpkj/qyZurkZQA65MA0JkH5dcLfWlDqmebxqzPI8dPuMMlv4kw==" saltValue="HNc1baqR0uh2hwPSdyBJm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0.17872492836676218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0.12637760881521748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MSq3Etf+JUvWlBl4M9FhGFniMHD0IxzD8bTd6l7Ls8AlOpkyysWN9rOWLSafQuYRbE9PjnO4q+bmyRYn5yOSg==" saltValue="TmBjBhSv1zJItN+fpLNET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ZmT8hAP+Tu7UdNw+lWoYHVuB6aRptj8xG+s4GYiEmnmyQS5cVkR2w2iFrb80RL7ebv6Bju76wvOjeb+k8u7gg==" saltValue="ZAAgNP8oVAQvHSxHHZ2X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MAJADAHONDA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85</v>
      </c>
      <c r="D10" s="404">
        <f>IF(ISNUMBER(C10/Datos!BH10),C10/Datos!BH10," - ")</f>
        <v>85</v>
      </c>
      <c r="E10" s="403">
        <f>IF(ISNUMBER(Datos!J10),Datos!J10," - ")</f>
        <v>19</v>
      </c>
      <c r="F10" s="404">
        <f>IF(ISNUMBER(E10/B10),E10/B10," - ")</f>
        <v>19</v>
      </c>
      <c r="G10" s="403">
        <f>IF(ISNUMBER(Datos!K10),Datos!K10," - ")</f>
        <v>15</v>
      </c>
      <c r="H10" s="404">
        <f>IF(ISNUMBER(G10/B10),G10/B10," - ")</f>
        <v>15</v>
      </c>
      <c r="I10" s="403">
        <f>IF(ISNUMBER(Datos!L10),Datos!L10," - ")</f>
        <v>38</v>
      </c>
      <c r="J10" s="404">
        <f>IF(ISNUMBER(I10/B10),I10/B10," - ")</f>
        <v>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6191</v>
      </c>
      <c r="D12" s="404">
        <f>IF(ISNUMBER(C12/Datos!BH12),C12/Datos!BH12," - ")</f>
        <v>773.875</v>
      </c>
      <c r="E12" s="403">
        <f>IF(ISNUMBER(IF(J_V="SI",Datos!J12,Datos!J12+Datos!Z12)),IF(J_V="SI",Datos!J12,Datos!J12+Datos!Z12)," - ")</f>
        <v>3266</v>
      </c>
      <c r="F12" s="404">
        <f>IF(ISNUMBER(E12/B12),E12/B12," - ")</f>
        <v>408.25</v>
      </c>
      <c r="G12" s="403">
        <f>IF(ISNUMBER(IF(J_V="SI",Datos!K12,Datos!K12+Datos!AA12)),IF(J_V="SI",Datos!K12,Datos!K12+Datos!AA12)," - ")</f>
        <v>2777</v>
      </c>
      <c r="H12" s="404">
        <f>IF(ISNUMBER(G12/B12),G12/B12," - ")</f>
        <v>347.125</v>
      </c>
      <c r="I12" s="403">
        <f>IF(ISNUMBER(IF(J_V="SI",Datos!L12,Datos!L12+Datos!AB12)),IF(J_V="SI",Datos!L12,Datos!L12+Datos!AB12)," - ")</f>
        <v>6014</v>
      </c>
      <c r="J12" s="404">
        <f>IF(ISNUMBER(I12/B12),I12/B12," - ")</f>
        <v>751.75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6276</v>
      </c>
      <c r="D13" s="850" t="str">
        <f>IF(ISNUMBER(C13/Datos!BI13),C13/Datos!BI13," - ")</f>
        <v xml:space="preserve"> - </v>
      </c>
      <c r="E13" s="849">
        <f>SUBTOTAL(9,E8:E12)</f>
        <v>3285</v>
      </c>
      <c r="F13" s="850">
        <f>IF(ISNUMBER(E13/B13),E13/B13," - ")</f>
        <v>410.625</v>
      </c>
      <c r="G13" s="849">
        <f>SUBTOTAL(9,G8:G12)</f>
        <v>2792</v>
      </c>
      <c r="H13" s="850">
        <f>IF(ISNUMBER(G13/B13),G13/B13," - ")</f>
        <v>349</v>
      </c>
      <c r="I13" s="849">
        <f>SUBTOTAL(9,I8:I12)</f>
        <v>6052</v>
      </c>
      <c r="J13" s="850">
        <f>IF(ISNUMBER(I13/B13),I13/B13," - ")</f>
        <v>756.5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2004</v>
      </c>
      <c r="D16" s="404">
        <f>IF(ISNUMBER(C16/Datos!BH16),C16/Datos!BH16," - ")</f>
        <v>250.5</v>
      </c>
      <c r="E16" s="403">
        <f>IF(ISNUMBER(IF(D_I="SI",Datos!J16,Datos!J16+Datos!AD16)),IF(D_I="SI",Datos!J16,Datos!J16+Datos!AD16)," - ")</f>
        <v>1754</v>
      </c>
      <c r="F16" s="404">
        <f>IF(ISNUMBER(E16/B16),E16/B16," - ")</f>
        <v>219.25</v>
      </c>
      <c r="G16" s="403">
        <f>IF(ISNUMBER(IF(D_I="SI",Datos!K16,Datos!K16+Datos!AE16)),IF(D_I="SI",Datos!K16,Datos!K16+Datos!AE16)," - ")</f>
        <v>1760</v>
      </c>
      <c r="H16" s="404">
        <f>IF(ISNUMBER(G16/B16),G16/B16," - ")</f>
        <v>220</v>
      </c>
      <c r="I16" s="403">
        <f>IF(ISNUMBER(IF(D_I="SI",Datos!L16,Datos!L16+Datos!AF16)),IF(D_I="SI",Datos!L16,Datos!L16+Datos!AF16)," - ")</f>
        <v>1623</v>
      </c>
      <c r="J16" s="404">
        <f>IF(ISNUMBER(I16/B16),I16/B16," - ")</f>
        <v>202.875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66</v>
      </c>
      <c r="F17" s="404">
        <f>IF(ISNUMBER(E17/B17),E17/B17," - ")</f>
        <v>66</v>
      </c>
      <c r="G17" s="403">
        <f>IF(ISNUMBER(IF(D_I="SI",Datos!K17,Datos!K17+Datos!AE17)),IF(D_I="SI",Datos!K17,Datos!K17+Datos!AE17)," - ")</f>
        <v>69</v>
      </c>
      <c r="H17" s="404">
        <f>IF(ISNUMBER(G17/B17),G17/B17," - ")</f>
        <v>69</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2053</v>
      </c>
      <c r="D18" s="850" t="str">
        <f>IF(ISNUMBER(C18/Datos!BI18),C18/Datos!BI18," - ")</f>
        <v xml:space="preserve"> - </v>
      </c>
      <c r="E18" s="849">
        <f>SUBTOTAL(9,E14:E17)</f>
        <v>1820</v>
      </c>
      <c r="F18" s="850">
        <f>IF(ISNUMBER(E18/B18),E18/B18," - ")</f>
        <v>227.5</v>
      </c>
      <c r="G18" s="849">
        <f>SUBTOTAL(9,G14:G17)</f>
        <v>1829</v>
      </c>
      <c r="H18" s="850">
        <f>IF(ISNUMBER(G18/B18),G18/B18," - ")</f>
        <v>228.625</v>
      </c>
      <c r="I18" s="849">
        <f>SUBTOTAL(9,I14:I17)</f>
        <v>1669</v>
      </c>
      <c r="J18" s="850">
        <f>IF(ISNUMBER(I18/B18),I18/B18," - ")</f>
        <v>208.625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8329</v>
      </c>
      <c r="D19" s="795" t="str">
        <f>IF(ISNUMBER(C19/Datos!BI19),C19/Datos!BI19," - ")</f>
        <v xml:space="preserve"> - </v>
      </c>
      <c r="E19" s="794">
        <f>SUBTOTAL(9,E9:E18)</f>
        <v>5105</v>
      </c>
      <c r="F19" s="795">
        <f>IF(ISNUMBER(E19/B19),E19/B19," - ")</f>
        <v>638.125</v>
      </c>
      <c r="G19" s="794">
        <f>SUBTOTAL(9,G9:G18)</f>
        <v>4621</v>
      </c>
      <c r="H19" s="795">
        <f>IF(ISNUMBER(G19/B19),G19/B19," - ")</f>
        <v>577.625</v>
      </c>
      <c r="I19" s="794">
        <f>SUBTOTAL(9,I9:I18)</f>
        <v>7721</v>
      </c>
      <c r="J19" s="795">
        <f>IF(ISNUMBER(I19/B19),I19/B19," - ")</f>
        <v>965.125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i7QROBafoMmAzfka7075ZpmwghPwpsFJbk4GvKFSmYDe6txbASUw4Fe9RCL6b44+Zo3md6JBIhFs+y7AeGqcw==" saltValue="09ijjQtUb07t3sOrdSJh3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MAJADAHONDA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7.6000000000000005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6435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492</v>
      </c>
      <c r="AM12" s="690">
        <f>IF(ISNUMBER(Datos!N12+DatosP!N16),Datos!N12+DatosP!N16," - ")</f>
        <v>1662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6.4969391429600281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-1.1520737327188941E-2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34</v>
      </c>
      <c r="G13" s="938">
        <f t="shared" si="0"/>
        <v>85</v>
      </c>
      <c r="H13" s="938">
        <f t="shared" si="0"/>
        <v>0</v>
      </c>
      <c r="I13" s="940">
        <f t="shared" si="0"/>
        <v>0</v>
      </c>
      <c r="J13" s="939">
        <f t="shared" si="0"/>
        <v>0</v>
      </c>
      <c r="K13" s="939">
        <f t="shared" si="0"/>
        <v>0</v>
      </c>
      <c r="L13" s="941">
        <f t="shared" si="0"/>
        <v>0</v>
      </c>
      <c r="M13" s="941">
        <f t="shared" si="0"/>
        <v>0</v>
      </c>
      <c r="N13" s="939">
        <f t="shared" si="0"/>
        <v>308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380</v>
      </c>
      <c r="AE13" s="939">
        <f t="shared" si="1"/>
        <v>0</v>
      </c>
      <c r="AF13" s="939">
        <f t="shared" si="1"/>
        <v>38</v>
      </c>
      <c r="AG13" s="939">
        <f t="shared" si="1"/>
        <v>0</v>
      </c>
      <c r="AH13" s="939">
        <f t="shared" si="1"/>
        <v>6435</v>
      </c>
      <c r="AI13" s="939">
        <f t="shared" si="1"/>
        <v>0</v>
      </c>
      <c r="AJ13" s="939">
        <f t="shared" si="1"/>
        <v>0</v>
      </c>
      <c r="AK13" s="939">
        <f t="shared" si="1"/>
        <v>0</v>
      </c>
      <c r="AL13" s="939">
        <f t="shared" si="1"/>
        <v>499</v>
      </c>
      <c r="AM13" s="939">
        <f t="shared" si="1"/>
        <v>1665</v>
      </c>
      <c r="AN13" s="939">
        <f t="shared" si="1"/>
        <v>0</v>
      </c>
      <c r="AO13" s="939">
        <f t="shared" si="1"/>
        <v>0</v>
      </c>
      <c r="AP13" s="944">
        <f>IF(ISNUMBER(((Datos!L13/Datos!K13)*11)/factor_trimestre),((Datos!L13/Datos!K13)*11)/factor_trimestre," - ")</f>
        <v>7.2276657060518739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-0.44117647058823528</v>
      </c>
      <c r="AU13" s="939" t="str">
        <f>IF(ISNUMBER((DatosP!#REF!-DatosP!#REF!+DatosP!#REF!)/(DatosP!#REF!+DatosP!#REF!-DatosP!#REF!-DatosP!#REF!)),(DatosP!#REF!-DatosP!#REF!+DatosP!#REF!)/(DatosP!#REF!+DatosP!#REF!-DatosP!#REF!-DatosP!#REF!)," - ")</f>
        <v xml:space="preserve"> - </v>
      </c>
      <c r="AV13" s="945">
        <f>SUBTOTAL(9,AV9:AV12)</f>
        <v>-1.1520737327188941E-2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2.7375615090213232</v>
      </c>
      <c r="AQ18" s="944">
        <f>IF(ISNUMBER(((Datos!M18/Datos!L18)*11)/factor_trimestre),((Datos!M18/Datos!L18)*11)/factor_trimestre," - ")</f>
        <v>0.3612941881366088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5.8479532163742687E-3</v>
      </c>
      <c r="AW18" s="946">
        <f>IF(ISNUMBER((Datos!Q18-Datos!R18)/(Datos!S18-Datos!Q18+Datos!R18)),(Datos!Q18-Datos!R18)/(Datos!S18-Datos!Q18+Datos!R18)," - ")</f>
        <v>-0.15059642147117297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34</v>
      </c>
      <c r="G19" s="951">
        <f t="shared" si="4"/>
        <v>85</v>
      </c>
      <c r="H19" s="951">
        <f t="shared" si="4"/>
        <v>0</v>
      </c>
      <c r="I19" s="952">
        <f t="shared" si="4"/>
        <v>0</v>
      </c>
      <c r="J19" s="953">
        <f t="shared" si="4"/>
        <v>0</v>
      </c>
      <c r="K19" s="953">
        <f t="shared" si="4"/>
        <v>0</v>
      </c>
      <c r="L19" s="953">
        <f t="shared" si="4"/>
        <v>0</v>
      </c>
      <c r="M19" s="953">
        <f t="shared" si="4"/>
        <v>0</v>
      </c>
      <c r="N19" s="952">
        <f t="shared" si="4"/>
        <v>308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380</v>
      </c>
      <c r="AE19" s="957">
        <f t="shared" si="5"/>
        <v>0</v>
      </c>
      <c r="AF19" s="958">
        <f t="shared" si="5"/>
        <v>38</v>
      </c>
      <c r="AG19" s="958">
        <f t="shared" si="5"/>
        <v>0</v>
      </c>
      <c r="AH19" s="958">
        <f t="shared" si="5"/>
        <v>6435</v>
      </c>
      <c r="AI19" s="958">
        <f t="shared" si="5"/>
        <v>0</v>
      </c>
      <c r="AJ19" s="959">
        <f t="shared" si="5"/>
        <v>0</v>
      </c>
      <c r="AK19" s="959">
        <f t="shared" si="5"/>
        <v>0</v>
      </c>
      <c r="AL19" s="951">
        <f t="shared" si="5"/>
        <v>499</v>
      </c>
      <c r="AM19" s="951">
        <f t="shared" si="5"/>
        <v>1665</v>
      </c>
      <c r="AN19" s="951">
        <f t="shared" si="5"/>
        <v>0</v>
      </c>
      <c r="AO19" s="951">
        <f t="shared" si="5"/>
        <v>0</v>
      </c>
      <c r="AP19" s="951">
        <f>IF(ISNUMBER(((Datos!L19/Datos!K19)*11)/factor_trimestre),((Datos!L19/Datos!K19)*11)/factor_trimestre," - ")</f>
        <v>5.2989666510098639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-0.44117647058823528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-1.0341855788566504E-2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19.629909152447276</v>
      </c>
      <c r="G21" s="737">
        <f>IF(ISNUMBER(STDEV(G8:G18)),STDEV(G8:G18),"-")</f>
        <v>49.074772881118186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284.08508115234304</v>
      </c>
      <c r="AM21" s="736"/>
      <c r="AN21" s="736">
        <f>IF(ISNUMBER(STDEV(AN8:AN18)),STDEV(AN8:AN18),"-")</f>
        <v>0</v>
      </c>
      <c r="AO21" s="742">
        <f>IF(ISNUMBER(STDEV(AO8:AO18)),STDEV(AO8:AO18),"-")</f>
        <v>0</v>
      </c>
      <c r="AP21" s="779">
        <f>IF(ISNUMBER(STDEV(AP8:AP18)),STDEV(AP8:AP18),"-")</f>
        <v>2.2328345468651252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9xWXwjp5zBEDmcIrqlc+0L43t2hriZ0q8hpFdy3j6YkweSprGDXn6cw4WXtwCvo5sTAQnvUooGbZPcl937XalA==" saltValue="iKzvQHHCeCMFp86nP9+Tw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MAJADAHONDA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FSWavgs8OJY0jgPjMTiK0DgY42tn3jdXXTC8BEXLcze1Vr7TU5Gon6D3cvASc35qB4Gobmbz0uZHV06A6lxUg==" saltValue="PGTWvF6uFLcfOLtqV1r9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MAJADAHONDA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492</v>
      </c>
      <c r="E12" s="404">
        <f t="shared" si="0"/>
        <v>61.5</v>
      </c>
      <c r="F12" s="403">
        <f>IF(ISNUMBER(Datos!N12),Datos!N12," - ")</f>
        <v>1662</v>
      </c>
      <c r="G12" s="404">
        <f t="shared" si="1"/>
        <v>207.75</v>
      </c>
      <c r="H12" s="403">
        <f>IF(ISNUMBER(Datos!O12),Datos!O12," - ")</f>
        <v>768</v>
      </c>
      <c r="I12" s="404">
        <f t="shared" si="2"/>
        <v>96</v>
      </c>
      <c r="BZ12" s="1186">
        <f>Datos!EZ12</f>
        <v>0</v>
      </c>
    </row>
    <row r="13" spans="1:78" ht="14.25" thickTop="1" thickBot="1">
      <c r="A13" s="848" t="str">
        <f>Datos!A13</f>
        <v>TOTAL</v>
      </c>
      <c r="B13" s="849">
        <f>Datos!AP13</f>
        <v>8</v>
      </c>
      <c r="C13" s="851">
        <f>Datos!AR13</f>
        <v>8</v>
      </c>
      <c r="D13" s="849">
        <f>SUBTOTAL(9,D9:D12)</f>
        <v>499</v>
      </c>
      <c r="E13" s="850">
        <f t="shared" si="0"/>
        <v>62.375</v>
      </c>
      <c r="F13" s="849">
        <f>SUBTOTAL(9,F9:F12)</f>
        <v>1665</v>
      </c>
      <c r="G13" s="850">
        <f t="shared" si="1"/>
        <v>208.125</v>
      </c>
      <c r="H13" s="849">
        <f>SUBTOTAL(9,H9:H12)</f>
        <v>769</v>
      </c>
      <c r="I13" s="850">
        <f>IF(ISNUMBER(H13/B13),H13/B13," - ")</f>
        <v>96.125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192</v>
      </c>
      <c r="E16" s="404">
        <f t="shared" si="3"/>
        <v>24</v>
      </c>
      <c r="F16" s="403">
        <f>IF(ISNUMBER(Datos!N16),Datos!N16," - ")</f>
        <v>1109</v>
      </c>
      <c r="G16" s="404">
        <f t="shared" si="4"/>
        <v>138.625</v>
      </c>
      <c r="H16" s="403">
        <f>IF(ISNUMBER(Datos!O16),Datos!O16," - ")</f>
        <v>18</v>
      </c>
      <c r="I16" s="404">
        <f t="shared" si="5"/>
        <v>2.25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68</v>
      </c>
      <c r="G17" s="404">
        <f>IF(ISNUMBER(F17/B17),F17/B17," - ")</f>
        <v>68</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201</v>
      </c>
      <c r="E18" s="850">
        <f t="shared" si="3"/>
        <v>25.125</v>
      </c>
      <c r="F18" s="849">
        <f>SUBTOTAL(9,F15:F17)</f>
        <v>1177</v>
      </c>
      <c r="G18" s="850">
        <f t="shared" si="4"/>
        <v>147.125</v>
      </c>
      <c r="H18" s="849">
        <f>SUBTOTAL(9,H15:H17)</f>
        <v>18</v>
      </c>
      <c r="I18" s="850">
        <f>IF(ISNUMBER(H18/B18),H18/B18," - ")</f>
        <v>2.25</v>
      </c>
      <c r="BZ18" s="1186"/>
    </row>
    <row r="19" spans="1:78" ht="14.25" thickTop="1" thickBot="1">
      <c r="A19" s="793" t="str">
        <f>Datos!A19</f>
        <v>TOTAL JURISDICCIONES</v>
      </c>
      <c r="B19" s="794">
        <f>Datos!AP19</f>
        <v>8</v>
      </c>
      <c r="C19" s="794">
        <f>Datos!AR19</f>
        <v>8</v>
      </c>
      <c r="D19" s="794">
        <f>SUBTOTAL(9,D8:D18)</f>
        <v>700</v>
      </c>
      <c r="E19" s="795">
        <f>IF(ISNUMBER(D19/B19),D19/B19," - ")</f>
        <v>87.5</v>
      </c>
      <c r="F19" s="794">
        <f>SUBTOTAL(9,F8:F18)</f>
        <v>2842</v>
      </c>
      <c r="G19" s="795">
        <f>IF(ISNUMBER(F19/B19),F19/B19," - ")</f>
        <v>355.25</v>
      </c>
      <c r="H19" s="794">
        <f>SUBTOTAL(9,H8:H18)</f>
        <v>787</v>
      </c>
      <c r="I19" s="795">
        <f>IF(ISNUMBER(H19/B19),H19/B19," - ")</f>
        <v>98.375</v>
      </c>
    </row>
    <row r="22" spans="1:78">
      <c r="A22" s="391" t="str">
        <f>Criterios!A4</f>
        <v>Fecha Informe: 03 jun. 2025</v>
      </c>
    </row>
    <row r="27" spans="1:78">
      <c r="A27" s="414"/>
    </row>
  </sheetData>
  <sheetProtection algorithmName="SHA-512" hashValue="a2IfT7w9vIfx4WlON6/RxoNM79Al+RFMBdHOpfmj/QU7XbhLK6pK8wYzLXmzDw12eG2a+RD70XIBaqfS28MArA==" saltValue="BTCek+ob5VCDp6hrlja7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MAJADAHONDA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111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305</v>
      </c>
      <c r="C12" s="434">
        <f>IF(ISNUMBER(Datos!Q12),Datos!Q12," - ")</f>
        <v>380</v>
      </c>
      <c r="D12" s="408">
        <f>IF(ISNUMBER(Datos!R12),Datos!R12," - ")</f>
        <v>6435</v>
      </c>
    </row>
    <row r="13" spans="1:4" ht="14.25" thickTop="1" thickBot="1">
      <c r="A13" s="848" t="str">
        <f>Datos!A13</f>
        <v>TOTAL</v>
      </c>
      <c r="B13" s="849">
        <f>SUBTOTAL(9,B9:B12)</f>
        <v>308</v>
      </c>
      <c r="C13" s="853">
        <f>SUBTOTAL(9,C9:C12)</f>
        <v>382</v>
      </c>
      <c r="D13" s="851">
        <f>SUBTOTAL(9,D9:D12)</f>
        <v>6546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43</v>
      </c>
      <c r="C16" s="434">
        <f>IF(ISNUMBER(Datos!Q16),Datos!Q16," - ")</f>
        <v>41</v>
      </c>
      <c r="D16" s="408">
        <f>IF(ISNUMBER(Datos!R16),Datos!R16," - ")</f>
        <v>343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43</v>
      </c>
      <c r="C18" s="853">
        <f>SUBTOTAL(9,C15:C17)</f>
        <v>41</v>
      </c>
      <c r="D18" s="851">
        <f>SUBTOTAL(9,D15:D17)</f>
        <v>344</v>
      </c>
    </row>
    <row r="19" spans="1:4" ht="16.5" customHeight="1" thickTop="1" thickBot="1">
      <c r="A19" s="793" t="str">
        <f>Datos!A19</f>
        <v>TOTAL JURISDICCIONES</v>
      </c>
      <c r="B19" s="798">
        <f>SUBTOTAL(9,B8:B18)</f>
        <v>351</v>
      </c>
      <c r="C19" s="799">
        <f>SUBTOTAL(9,C8:C18)</f>
        <v>423</v>
      </c>
      <c r="D19" s="800">
        <f>SUBTOTAL(9,D8:D18)</f>
        <v>6890</v>
      </c>
    </row>
    <row r="20" spans="1:4" ht="7.5" customHeight="1"/>
    <row r="21" spans="1:4" ht="6" customHeight="1"/>
    <row r="22" spans="1:4">
      <c r="A22" s="391" t="str">
        <f>Criterios!A4</f>
        <v>Fecha Informe: 03 jun. 2025</v>
      </c>
    </row>
    <row r="27" spans="1:4">
      <c r="A27" s="414"/>
    </row>
  </sheetData>
  <sheetProtection algorithmName="SHA-512" hashValue="5Fq3GiV4/0ihZM6FHicbNdBS0msACAr680KbXBypclJvpRCuicIsQTxMFCRke78PZZ0HWvUqSttn+EQkJYxdjg==" saltValue="tmLe+kap4X1k2n8JN4FF2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MAJADAHONDA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4.9382716049382713E-2</v>
      </c>
      <c r="C10" s="456">
        <f>IF(ISNUMBER((Datos!J10-Datos!T10)/Datos!T10),(Datos!J10-Datos!T10)/Datos!T10," - ")</f>
        <v>5.5555555555555552E-2</v>
      </c>
      <c r="D10" s="456">
        <f>IF(ISNUMBER((Datos!K10-Datos!U10)/Datos!U10),(Datos!K10-Datos!U10)/Datos!U10," - ")</f>
        <v>-0.25</v>
      </c>
      <c r="E10" s="456">
        <f>IF(ISNUMBER((Datos!L10-Datos!V10)/Datos!V10),(Datos!L10-Datos!V10)/Datos!V10," - ")</f>
        <v>-0.51898734177215189</v>
      </c>
      <c r="F10" s="456">
        <f>IF(ISNUMBER((Datos!M10-Datos!W10)/Datos!W10),(Datos!M10-Datos!W10)/Datos!W10," - ")</f>
        <v>-0.3</v>
      </c>
      <c r="G10" s="457">
        <f>IF(ISNUMBER((Datos!N10-Datos!X10)/Datos!X10),(Datos!N10-Datos!X10)/Datos!X10," - ")</f>
        <v>-0.5</v>
      </c>
      <c r="H10" s="455">
        <f>IF(ISNUMBER(((NºAsuntos!G10/NºAsuntos!E10)-Datos!BD10)/Datos!BD10),((NºAsuntos!G10/NºAsuntos!E10)-Datos!BD10)/Datos!BD10," - ")</f>
        <v>-0.28947368421052633</v>
      </c>
      <c r="I10" s="456">
        <f>IF(ISNUMBER(((NºAsuntos!I10/NºAsuntos!G10)-Datos!BE10)/Datos!BE10),((NºAsuntos!I10/NºAsuntos!G10)-Datos!BE10)/Datos!BE10," - ")</f>
        <v>-0.35864978902953593</v>
      </c>
      <c r="J10" s="461">
        <f>IF(ISNUMBER((('Resol  Asuntos'!D10/NºAsuntos!G10)-Datos!BF10)/Datos!BF10),(('Resol  Asuntos'!D10/NºAsuntos!G10)-Datos!BF10)/Datos!BF10," - ")</f>
        <v>-6.6666666666666652E-2</v>
      </c>
      <c r="K10" s="462">
        <f>IF(ISNUMBER((((NºAsuntos!C10+NºAsuntos!E10)/NºAsuntos!G10)-Datos!BG10)/Datos!BG10),(((NºAsuntos!C10+NºAsuntos!E10)/NºAsuntos!G10)-Datos!BG10)/Datos!BG10," - ")</f>
        <v>0.40067340067340068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0.11529454152404972</v>
      </c>
      <c r="C12" s="456">
        <f>IF(ISNUMBER(
   IF(J_V="SI",(Datos!J12-Datos!T12)/Datos!T12,(Datos!J12+Datos!Z12-(Datos!T12+Datos!AH12))/(Datos!T12+Datos!AH12))
     ),IF(J_V="SI",(Datos!J12-Datos!T12)/Datos!T12,(Datos!J12+Datos!Z12-(Datos!T12+Datos!AH12))/(Datos!T12+Datos!AH12))," - ")</f>
        <v>0.22920587128340233</v>
      </c>
      <c r="D12" s="456">
        <f>IF(ISNUMBER(
   IF(J_V="SI",(Datos!K12-Datos!U12)/Datos!U12,(Datos!K12+Datos!AA12-(Datos!U12+Datos!AI12))/(Datos!U12+Datos!AI12))
     ),IF(J_V="SI",(Datos!K12-Datos!U12)/Datos!U12,(Datos!K12+Datos!AA12-(Datos!U12+Datos!AI12))/(Datos!U12+Datos!AI12))," - ")</f>
        <v>6.9310743165190605E-2</v>
      </c>
      <c r="E12" s="456">
        <f>IF(ISNUMBER(
   IF(J_V="SI",(Datos!L12-Datos!V12)/Datos!V12,(Datos!L12+Datos!AB12-(Datos!V12+Datos!AJ12))/(Datos!V12+Datos!AJ12))
     ),IF(J_V="SI",(Datos!L12-Datos!V12)/Datos!V12,(Datos!L12+Datos!AB12-(Datos!V12+Datos!AJ12))/(Datos!V12+Datos!AJ12))," - ")</f>
        <v>7.3545162441985001E-2</v>
      </c>
      <c r="F12" s="456">
        <f>IF(ISNUMBER((Datos!M12-Datos!W12)/Datos!W12),(Datos!M12-Datos!W12)/Datos!W12," - ")</f>
        <v>-2.9585798816568046E-2</v>
      </c>
      <c r="G12" s="457">
        <f>IF(ISNUMBER((Datos!N12-Datos!X12)/Datos!X12),(Datos!N12-Datos!X12)/Datos!X12," - ")</f>
        <v>0.30763178599527929</v>
      </c>
      <c r="H12" s="455">
        <f>IF(ISNUMBER(((NºAsuntos!G12/NºAsuntos!E12)-Datos!BD12)/Datos!BD12),((NºAsuntos!G12/NºAsuntos!E12)-Datos!BD12)/Datos!BD12," - ")</f>
        <v>-0.13008002308943306</v>
      </c>
      <c r="I12" s="456">
        <f>IF(ISNUMBER(((NºAsuntos!I12/NºAsuntos!G12)-Datos!BE12)/Datos!BE12),((NºAsuntos!I12/NºAsuntos!G12)-Datos!BE12)/Datos!BE12," - ")</f>
        <v>3.959952056836454E-3</v>
      </c>
      <c r="J12" s="461">
        <f>IF(ISNUMBER((('Resol  Asuntos'!D12/NºAsuntos!G12)-Datos!BF12)/Datos!BF12),(('Resol  Asuntos'!D12/NºAsuntos!G12)-Datos!BF12)/Datos!BF12," - ")</f>
        <v>-0.6379941222251907</v>
      </c>
      <c r="K12" s="462">
        <f>IF(ISNUMBER((((NºAsuntos!C12+NºAsuntos!E12)/NºAsuntos!G12)-Datos!BG12)/Datos!BG12),(((NºAsuntos!C12+NºAsuntos!E12)/NºAsuntos!G12)-Datos!BG12)/Datos!BG12," - ")</f>
        <v>7.7487178866222903E-2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0.11434659090909091</v>
      </c>
      <c r="C13" s="855">
        <f>IF(ISNUMBER(
   IF(J_V="SI",(Datos!J13-Datos!T13)/Datos!T13,(Datos!J13+Datos!Z13-(Datos!T13+Datos!AH13))/(Datos!T13+Datos!AH13))
     ),IF(J_V="SI",(Datos!J13-Datos!T13)/Datos!T13,(Datos!J13+Datos!Z13-(Datos!T13+Datos!AH13))/(Datos!T13+Datos!AH13))," - ")</f>
        <v>0.22803738317757008</v>
      </c>
      <c r="D13" s="855">
        <f>IF(ISNUMBER(
   IF(J_V="SI",(Datos!K13-Datos!U13)/Datos!U13,(Datos!K13+Datos!AA13-(Datos!U13+Datos!AI13))/(Datos!U13+Datos!AI13))
     ),IF(J_V="SI",(Datos!K13-Datos!U13)/Datos!U13,(Datos!K13+Datos!AA13-(Datos!U13+Datos!AI13))/(Datos!U13+Datos!AI13))," - ")</f>
        <v>6.6870462361482613E-2</v>
      </c>
      <c r="E13" s="855">
        <f>IF(ISNUMBER(
   IF(J_V="SI",(Datos!L13-Datos!V13)/Datos!V13,(Datos!L13+Datos!AB13-(Datos!V13+Datos!AJ13))/(Datos!V13+Datos!AJ13))
     ),IF(J_V="SI",(Datos!L13-Datos!V13)/Datos!V13,(Datos!L13+Datos!AB13-(Datos!V13+Datos!AJ13))/(Datos!V13+Datos!AJ13))," - ")</f>
        <v>6.530540397817286E-2</v>
      </c>
      <c r="F13" s="856">
        <f>IF(ISNUMBER((Datos!M13-Datos!W13)/Datos!W13),(Datos!M13-Datos!W13)/Datos!W13," - ")</f>
        <v>-3.4816247582205029E-2</v>
      </c>
      <c r="G13" s="857">
        <f>IF(ISNUMBER((Datos!N13-Datos!X13)/Datos!X13),(Datos!N13-Datos!X13)/Datos!X13," - ")</f>
        <v>0.30383711824588883</v>
      </c>
      <c r="H13" s="857">
        <f>IF(ISNUMBER(((NºAsuntos!G13/NºAsuntos!E13)-Datos!BD13)/Datos!BD13),((NºAsuntos!G13/NºAsuntos!E13)-Datos!BD13)/Datos!BD13," - ")</f>
        <v>-0.13123942562649435</v>
      </c>
      <c r="I13" s="857">
        <f>IF(ISNUMBER(((NºAsuntos!I13/NºAsuntos!G13)-Datos!BE13)/Datos!BE13),((NºAsuntos!I13/NºAsuntos!G13)-Datos!BE13)/Datos!BE13," - ")</f>
        <v>-1.4669619588544411E-3</v>
      </c>
      <c r="J13" s="857">
        <f>IF(ISNUMBER((('Resol  Asuntos'!D13/NºAsuntos!G13)-Datos!BF13)/Datos!BF13),(('Resol  Asuntos'!D13/NºAsuntos!G13)-Datos!BF13)/Datos!BF13," - ")</f>
        <v>-0.63487655149428834</v>
      </c>
      <c r="K13" s="857">
        <f>IF(ISNUMBER((((NºAsuntos!C13+NºAsuntos!E13)/NºAsuntos!G13)-Datos!BG13)/Datos!BG13),(((NºAsuntos!C13+NºAsuntos!E13)/NºAsuntos!G13)-Datos!BG13)/Datos!BG13," - ")</f>
        <v>7.8816093238588139E-2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0.20650210716435882</v>
      </c>
      <c r="C16" s="456">
        <f>IF(ISNUMBER(
   IF(D_I="SI",(Datos!J16-Datos!T16)/Datos!T16,(Datos!J16+Datos!AD16-(Datos!T16+Datos!AL16))/(Datos!T16+Datos!AL16))
     ),IF(D_I="SI",(Datos!J16-Datos!T16)/Datos!T16,(Datos!J16+Datos!AD16-(Datos!T16+Datos!AL16))/(Datos!T16+Datos!AL16))," - ")</f>
        <v>3.7869822485207101E-2</v>
      </c>
      <c r="D16" s="456">
        <f>IF(ISNUMBER(
   IF(D_I="SI",(Datos!K16-Datos!U16)/Datos!U16,(Datos!K16+Datos!AE16-(Datos!U16+Datos!AM16))/(Datos!U16+Datos!AM16))
     ),IF(D_I="SI",(Datos!K16-Datos!U16)/Datos!U16,(Datos!K16+Datos!AE16-(Datos!U16+Datos!AM16))/(Datos!U16+Datos!AM16))," - ")</f>
        <v>-6.2111801242236021E-3</v>
      </c>
      <c r="E16" s="456">
        <f>IF(ISNUMBER(
   IF(D_I="SI",(Datos!L16-Datos!V16)/Datos!V16,(Datos!L16+Datos!AF16-(Datos!V16+Datos!AN16))/(Datos!V16+Datos!AN16))
     ),IF(D_I="SI",(Datos!L16-Datos!V16)/Datos!V16,(Datos!L16+Datos!AF16-(Datos!V16+Datos!AN16))/(Datos!V16+Datos!AN16))," - ")</f>
        <v>7.4487895716945996E-3</v>
      </c>
      <c r="F16" s="456">
        <f>IF(ISNUMBER((Datos!M16-Datos!W16)/Datos!W16),(Datos!M16-Datos!W16)/Datos!W16," - ")</f>
        <v>-0.17948717948717949</v>
      </c>
      <c r="G16" s="457">
        <f>IF(ISNUMBER((Datos!N16-Datos!X16)/Datos!X16),(Datos!N16-Datos!X16)/Datos!X16," - ")</f>
        <v>0.15520833333333334</v>
      </c>
      <c r="H16" s="455">
        <f>IF(ISNUMBER(((NºAsuntos!G16/NºAsuntos!E16)-Datos!BD16)/Datos!BD16),((NºAsuntos!G16/NºAsuntos!E16)-Datos!BD16)/Datos!BD16," - ")</f>
        <v>-4.2472573779896092E-2</v>
      </c>
      <c r="I16" s="456">
        <f>IF(ISNUMBER(((NºAsuntos!I16/NºAsuntos!G16)-Datos!BE16)/Datos!BE16),((NºAsuntos!I16/NºAsuntos!G16)-Datos!BE16)/Datos!BE16," - ")</f>
        <v>1.3745344506517706E-2</v>
      </c>
      <c r="J16" s="461">
        <f>IF(ISNUMBER((('Resol  Asuntos'!D16/NºAsuntos!G16)-Datos!BF16)/Datos!BF16),(('Resol  Asuntos'!D16/NºAsuntos!G16)-Datos!BF16)/Datos!BF16," - ")</f>
        <v>-0.17435897435897438</v>
      </c>
      <c r="K16" s="462">
        <f>IF(ISNUMBER((((NºAsuntos!C16+NºAsuntos!E16)/NºAsuntos!G16)-Datos!BG16)/Datos!BG16),(((NºAsuntos!C16+NºAsuntos!E16)/NºAsuntos!G16)-Datos!BG16)/Datos!BG16," - ")</f>
        <v>0.12846538346762162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2.0833333333333332E-2</v>
      </c>
      <c r="C17" s="456">
        <f>IF(ISNUMBER(
   IF(D_I="SI",(Datos!J17-Datos!T17)/Datos!T17,(Datos!J17+Datos!AD17-(Datos!T17+Datos!AL17))/(Datos!T17+Datos!AL17))
     ),IF(D_I="SI",(Datos!J17-Datos!T17)/Datos!T17,(Datos!J17+Datos!AD17-(Datos!T17+Datos!AL17))/(Datos!T17+Datos!AL17))," - ")</f>
        <v>-0.17499999999999999</v>
      </c>
      <c r="D17" s="456">
        <f>IF(ISNUMBER(
   IF(D_I="SI",(Datos!K17-Datos!U17)/Datos!U17,(Datos!K17+Datos!AE17-(Datos!U17+Datos!AM17))/(Datos!U17+Datos!AM17))
     ),IF(D_I="SI",(Datos!K17-Datos!U17)/Datos!U17,(Datos!K17+Datos!AE17-(Datos!U17+Datos!AM17))/(Datos!U17+Datos!AM17))," - ")</f>
        <v>-0.21590909090909091</v>
      </c>
      <c r="E17" s="456">
        <f>IF(ISNUMBER(
   IF(D_I="SI",(Datos!L17-Datos!V17)/Datos!V17,(Datos!L17+Datos!AF17-(Datos!V17+Datos!AN17))/(Datos!V17+Datos!AN17))
     ),IF(D_I="SI",(Datos!L17-Datos!V17)/Datos!V17,(Datos!L17+Datos!AF17-(Datos!V17+Datos!AN17))/(Datos!V17+Datos!AN17))," - ")</f>
        <v>0.12195121951219512</v>
      </c>
      <c r="F17" s="456">
        <f>IF(ISNUMBER((Datos!M17-Datos!W17)/Datos!W17),(Datos!M17-Datos!W17)/Datos!W17," - ")</f>
        <v>-0.1</v>
      </c>
      <c r="G17" s="457">
        <f>IF(ISNUMBER((Datos!N17-Datos!X17)/Datos!X17),(Datos!N17-Datos!X17)/Datos!X17," - ")</f>
        <v>0</v>
      </c>
      <c r="H17" s="455">
        <f>IF(ISNUMBER(((NºAsuntos!G17/NºAsuntos!E17)-Datos!BD17)/Datos!BD17),((NºAsuntos!G17/NºAsuntos!E17)-Datos!BD17)/Datos!BD17," - ")</f>
        <v>-4.9586776859504245E-2</v>
      </c>
      <c r="I17" s="456">
        <f>IF(ISNUMBER(((NºAsuntos!I17/NºAsuntos!G17)-Datos!BE17)/Datos!BE17),((NºAsuntos!I17/NºAsuntos!G17)-Datos!BE17)/Datos!BE17," - ")</f>
        <v>0.43089430894308944</v>
      </c>
      <c r="J17" s="461">
        <f>IF(ISNUMBER((('Resol  Asuntos'!D17/NºAsuntos!G17)-Datos!BF17)/Datos!BF17),(('Resol  Asuntos'!D17/NºAsuntos!G17)-Datos!BF17)/Datos!BF17," - ")</f>
        <v>0.14782608695652175</v>
      </c>
      <c r="K17" s="462">
        <f>IF(ISNUMBER((((NºAsuntos!C17+NºAsuntos!E17)/NºAsuntos!G17)-Datos!BG17)/Datos!BG17),(((NºAsuntos!C17+NºAsuntos!E17)/NºAsuntos!G17)-Datos!BG17)/Datos!BG17," - ")</f>
        <v>0.14583333333333334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0.20128730251609128</v>
      </c>
      <c r="C18" s="855">
        <f>IF(ISNUMBER(
   IF(Criterios!B14="SI",(Datos!J18-Datos!T18)/Datos!T18,(Datos!J18+Datos!AD18-(Datos!T18+Datos!AL18))/(Datos!T18+Datos!AL18))
     ),IF(Criterios!B14="SI",(Datos!J18-Datos!T18)/Datos!T18,(Datos!J18+Datos!AD18-(Datos!T18+Datos!AL18))/(Datos!T18+Datos!AL18))," - ")</f>
        <v>2.8248587570621469E-2</v>
      </c>
      <c r="D18" s="855">
        <f>IF(ISNUMBER(
   IF(Criterios!B14="SI",(Datos!K18-Datos!U18)/Datos!U18,(Datos!K18+Datos!AE18-(Datos!U18+Datos!AM18))/(Datos!U18+Datos!AM18))
     ),IF(Criterios!B14="SI",(Datos!K18-Datos!U18)/Datos!U18,(Datos!K18+Datos!AE18-(Datos!U18+Datos!AM18))/(Datos!U18+Datos!AM18))," - ")</f>
        <v>-1.6137708445400752E-2</v>
      </c>
      <c r="E18" s="855">
        <f>IF(ISNUMBER(
   IF(Criterios!B14="SI",(Datos!L18-Datos!V18)/Datos!V18,(Datos!L18+Datos!AF18-(Datos!V18+Datos!AN18))/(Datos!V18+Datos!AN18))
     ),IF(Criterios!B14="SI",(Datos!L18-Datos!V18)/Datos!V18,(Datos!L18+Datos!AF18-(Datos!V18+Datos!AN18))/(Datos!V18+Datos!AN18))," - ")</f>
        <v>1.0290556900726392E-2</v>
      </c>
      <c r="F18" s="856">
        <f>IF(ISNUMBER((Datos!M18-Datos!W18)/Datos!W18),(Datos!M18-Datos!W18)/Datos!W18," - ")</f>
        <v>-0.17622950819672131</v>
      </c>
      <c r="G18" s="857">
        <f>IF(ISNUMBER((Datos!N18-Datos!X18)/Datos!X18),(Datos!N18-Datos!X18)/Datos!X18," - ")</f>
        <v>0.14494163424124515</v>
      </c>
      <c r="H18" s="857">
        <f>IF(ISNUMBER(((NºAsuntos!G18/NºAsuntos!E18)-Datos!BD18)/Datos!BD18),((NºAsuntos!G18/NºAsuntos!E18)-Datos!BD18)/Datos!BD18," - ")</f>
        <v>-4.3166892279318386E-2</v>
      </c>
      <c r="I18" s="857">
        <f>IF(ISNUMBER(((NºAsuntos!I18/NºAsuntos!G18)-Datos!BE18)/Datos!BE18),((NºAsuntos!I18/NºAsuntos!G18)-Datos!BE18)/Datos!BE18," - ")</f>
        <v>2.6861752475915983E-2</v>
      </c>
      <c r="J18" s="857">
        <f>IF(ISNUMBER((('Resol  Asuntos'!D18/NºAsuntos!G18)-Datos!BF18)/Datos!BF18),(('Resol  Asuntos'!D18/NºAsuntos!G18)-Datos!BF18)/Datos!BF18," - ")</f>
        <v>-0.1627176903978704</v>
      </c>
      <c r="K18" s="857">
        <f>IF(ISNUMBER((((NºAsuntos!C18+NºAsuntos!E18)/NºAsuntos!G18)-Datos!BG18)/Datos!BG18),(((NºAsuntos!C18+NºAsuntos!E18)/NºAsuntos!G18)-Datos!BG18)/Datos!BG18," - ")</f>
        <v>0.13151092762935493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0.13458656858738591</v>
      </c>
      <c r="C19" s="802">
        <f>IF(ISNUMBER(
   IF(J_V="SI",(Datos!J19-Datos!T19)/Datos!T19,(Datos!J19+Datos!Z19-(Datos!T19+Datos!AH19))/(Datos!T19+Datos!AH19))
     ),IF(J_V="SI",(Datos!J19-Datos!T19)/Datos!T19,(Datos!J19+Datos!Z19-(Datos!T19+Datos!AH19))/(Datos!T19+Datos!AH19))," - ")</f>
        <v>0.14848143982002249</v>
      </c>
      <c r="D19" s="802">
        <f>IF(ISNUMBER(
   IF(J_V="SI",(Datos!K19-Datos!U19)/Datos!U19,(Datos!K19+Datos!AA19-(Datos!U19+Datos!AI19))/(Datos!U19+Datos!AI19))
     ),IF(J_V="SI",(Datos!K19-Datos!U19)/Datos!U19,(Datos!K19+Datos!AA19-(Datos!U19+Datos!AI19))/(Datos!U19+Datos!AI19))," - ")</f>
        <v>3.2394995531724757E-2</v>
      </c>
      <c r="E19" s="802">
        <f>IF(ISNUMBER(
   IF(J_V="SI",(Datos!L19-Datos!V19)/Datos!V19,(Datos!L19+Datos!AB19-(Datos!V19+Datos!AJ19))/(Datos!V19+Datos!AJ19))
     ),IF(J_V="SI",(Datos!L19-Datos!V19)/Datos!V19,(Datos!L19+Datos!AB19-(Datos!V19+Datos!AJ19))/(Datos!V19+Datos!AJ19))," - ")</f>
        <v>5.291149597708987E-2</v>
      </c>
      <c r="F19" s="803">
        <f>IF(ISNUMBER((Datos!M19-Datos!W19)/Datos!W19),(Datos!M19-Datos!W19)/Datos!W19," - ")</f>
        <v>-8.0157687253613663E-2</v>
      </c>
      <c r="G19" s="804">
        <f>IF(ISNUMBER((Datos!N19-Datos!X19)/Datos!X19),(Datos!N19-Datos!X19)/Datos!X19," - ")</f>
        <v>0.23297180043383947</v>
      </c>
      <c r="H19" s="805">
        <f>IF(ISNUMBER((Tasas!B19-Datos!BD19)/Datos!BD19),(Tasas!B19-Datos!BD19)/Datos!BD19," - ")</f>
        <v>-0.10107820663300369</v>
      </c>
      <c r="I19" s="806">
        <f>IF(ISNUMBER((Tasas!C19-Datos!BE19)/Datos!BE19),(Tasas!C19-Datos!BE19)/Datos!BE19," - ")</f>
        <v>1.9872723651472447E-2</v>
      </c>
      <c r="J19" s="807">
        <f>IF(ISNUMBER((Tasas!D19-Datos!BF19)/Datos!BF19),(Tasas!D19-Datos!BF19)/Datos!BF19," - ")</f>
        <v>-0.55538684764138058</v>
      </c>
      <c r="K19" s="807">
        <f>IF(ISNUMBER((Tasas!E19-Datos!BG19)/Datos!BG19),(Tasas!E19-Datos!BG19)/Datos!BG19," - ")</f>
        <v>0.10406086645150191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T0y4Z0EGXjRW0mW2qzsNq2m5HKz02Vl3gJ6NfcoB/FKVk3VZYuTwCiyloba5hcv6GrNmEZyTbqFpHmn0XBuWg==" saltValue="zi8NydXMmaVNEHvKfF+s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MAJADAHONDA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0.78947368421052633</v>
      </c>
      <c r="C10" s="443">
        <f>IF(ISNUMBER(NºAsuntos!I10/NºAsuntos!G10),NºAsuntos!I10/NºAsuntos!G10," - ")</f>
        <v>2.5333333333333332</v>
      </c>
      <c r="D10" s="444">
        <f>IF(ISNUMBER('Resol  Asuntos'!D10/NºAsuntos!G10),'Resol  Asuntos'!D10/NºAsuntos!G10," - ")</f>
        <v>0.46666666666666667</v>
      </c>
      <c r="E10" s="445">
        <f>IF(ISNUMBER((NºAsuntos!C10+NºAsuntos!E10)/NºAsuntos!G10),(NºAsuntos!C10+NºAsuntos!E10)/NºAsuntos!G10," - ")</f>
        <v>6.9333333333333336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0.85027556644213109</v>
      </c>
      <c r="C12" s="443">
        <f>IF(ISNUMBER(NºAsuntos!I12/NºAsuntos!G12),NºAsuntos!I12/NºAsuntos!G12," - ")</f>
        <v>2.1656463809866762</v>
      </c>
      <c r="D12" s="444">
        <f>IF(ISNUMBER('Resol  Asuntos'!D12/NºAsuntos!G12),'Resol  Asuntos'!D12/NºAsuntos!G12," - ")</f>
        <v>0.17716960749009722</v>
      </c>
      <c r="E12" s="445">
        <f>IF(ISNUMBER((NºAsuntos!C12+NºAsuntos!E12)/NºAsuntos!G12),(NºAsuntos!C12+NºAsuntos!E12)/NºAsuntos!G12," - ")</f>
        <v>3.405473532589125</v>
      </c>
      <c r="G12" s="463"/>
    </row>
    <row r="13" spans="1:7" ht="14.25" thickTop="1" thickBot="1">
      <c r="A13" s="848" t="str">
        <f>Datos!A13</f>
        <v>TOTAL</v>
      </c>
      <c r="B13" s="858">
        <f>IF(ISNUMBER(NºAsuntos!G13/NºAsuntos!E13),NºAsuntos!G13/NºAsuntos!E13," - ")</f>
        <v>0.84992389649923894</v>
      </c>
      <c r="C13" s="859">
        <f>IF(ISNUMBER(NºAsuntos!I13/NºAsuntos!G13),NºAsuntos!I13/NºAsuntos!G13," - ")</f>
        <v>2.1676217765042982</v>
      </c>
      <c r="D13" s="860">
        <f>IF(ISNUMBER('Resol  Asuntos'!D13/NºAsuntos!G13),'Resol  Asuntos'!D13/NºAsuntos!G13," - ")</f>
        <v>0.17872492836676218</v>
      </c>
      <c r="E13" s="861">
        <f>IF(ISNUMBER((NºAsuntos!C13+NºAsuntos!E13)/NºAsuntos!G13),(NºAsuntos!C13+NºAsuntos!E13)/NºAsuntos!G13," - ")</f>
        <v>3.4244269340974212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1.0034207525655645</v>
      </c>
      <c r="C16" s="443">
        <f>IF(ISNUMBER(NºAsuntos!I16/NºAsuntos!G16),NºAsuntos!I16/NºAsuntos!G16," - ")</f>
        <v>0.92215909090909087</v>
      </c>
      <c r="D16" s="444">
        <f>IF(ISNUMBER('Resol  Asuntos'!D16/NºAsuntos!G16),'Resol  Asuntos'!D16/NºAsuntos!G16," - ")</f>
        <v>0.10909090909090909</v>
      </c>
      <c r="E16" s="445">
        <f>IF(ISNUMBER((NºAsuntos!C16+NºAsuntos!E16)/NºAsuntos!G16),(NºAsuntos!C16+NºAsuntos!E16)/NºAsuntos!G16," - ")</f>
        <v>2.1352272727272728</v>
      </c>
      <c r="G16" s="463"/>
    </row>
    <row r="17" spans="1:7" ht="13.5" thickBot="1">
      <c r="A17" s="402" t="str">
        <f>Datos!A17</f>
        <v>Jdos. Violencia contra la mujer</v>
      </c>
      <c r="B17" s="442">
        <f>IF(ISNUMBER(NºAsuntos!G17/NºAsuntos!E17),NºAsuntos!G17/NºAsuntos!E17," - ")</f>
        <v>1.0454545454545454</v>
      </c>
      <c r="C17" s="443">
        <f>IF(ISNUMBER(NºAsuntos!I17/NºAsuntos!G17),NºAsuntos!I17/NºAsuntos!G17," - ")</f>
        <v>0.66666666666666663</v>
      </c>
      <c r="D17" s="444">
        <f>IF(ISNUMBER('Resol  Asuntos'!D17/NºAsuntos!G17),'Resol  Asuntos'!D17/NºAsuntos!G17," - ")</f>
        <v>0.13043478260869565</v>
      </c>
      <c r="E17" s="445">
        <f>IF(ISNUMBER((NºAsuntos!C17+NºAsuntos!E17)/NºAsuntos!G17),(NºAsuntos!C17+NºAsuntos!E17)/NºAsuntos!G17," - ")</f>
        <v>1.6666666666666667</v>
      </c>
      <c r="G17" s="463"/>
    </row>
    <row r="18" spans="1:7" ht="14.25" thickTop="1" thickBot="1">
      <c r="A18" s="848" t="str">
        <f>Datos!A18</f>
        <v>TOTAL</v>
      </c>
      <c r="B18" s="858">
        <f>IF(ISNUMBER(NºAsuntos!G18/NºAsuntos!E18),NºAsuntos!G18/NºAsuntos!E18," - ")</f>
        <v>1.0049450549450549</v>
      </c>
      <c r="C18" s="859">
        <f>IF(ISNUMBER(NºAsuntos!I18/NºAsuntos!G18),NºAsuntos!I18/NºAsuntos!G18," - ")</f>
        <v>0.91252050300710774</v>
      </c>
      <c r="D18" s="862">
        <f>IF(ISNUMBER('Resol  Asuntos'!D18/NºAsuntos!G18),'Resol  Asuntos'!D18/NºAsuntos!G18," - ")</f>
        <v>0.10989611809732094</v>
      </c>
      <c r="E18" s="861">
        <f>IF(ISNUMBER((NºAsuntos!C18+NºAsuntos!E18)/NºAsuntos!G18),(NºAsuntos!C18+NºAsuntos!E18)/NºAsuntos!G18," - ")</f>
        <v>2.1175505740841989</v>
      </c>
      <c r="G18" s="463"/>
    </row>
    <row r="19" spans="1:7" ht="15.75" customHeight="1" thickTop="1" thickBot="1">
      <c r="A19" s="793" t="str">
        <f>Datos!A19</f>
        <v>TOTAL JURISDICCIONES</v>
      </c>
      <c r="B19" s="808">
        <f>IF(ISNUMBER(NºAsuntos!G19/NºAsuntos!E19),NºAsuntos!G19/NºAsuntos!E19," - ")</f>
        <v>0.90519098922624874</v>
      </c>
      <c r="C19" s="809">
        <f>IF(ISNUMBER(NºAsuntos!I19/NºAsuntos!G19),NºAsuntos!I19/NºAsuntos!G19," - ")</f>
        <v>1.6708504652672582</v>
      </c>
      <c r="D19" s="810">
        <f>IF(ISNUMBER('Resol  Asuntos'!D19/NºAsuntos!G19),'Resol  Asuntos'!D19/NºAsuntos!G19," - ")</f>
        <v>0.15148236312486474</v>
      </c>
      <c r="E19" s="811">
        <f>IF(ISNUMBER((NºAsuntos!C19+NºAsuntos!E19)/NºAsuntos!G19),(NºAsuntos!C19+NºAsuntos!E19)/NºAsuntos!G19," - ")</f>
        <v>2.907162951742047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QP8VTKvbUPJBvCyYN3ZD5UAE+QEVczpSvHFz5BqzkpYbMU/Z8GwqPdQ1XGXWplsClaFNDV4+UXzilMkrY72g==" saltValue="1Mh3gXVw8BfwwCVZaFyC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MAJADAHONDA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2</v>
      </c>
      <c r="Y10" s="334">
        <f t="shared" ref="Y10:Y12" si="0">SUM(W10:X10)</f>
        <v>17</v>
      </c>
      <c r="Z10" s="335" t="str">
        <f>IF(ISNUMBER(Datos!CC10),Datos!CC10," - ")</f>
        <v xml:space="preserve"> - </v>
      </c>
      <c r="AA10" s="332">
        <f>IF(ISNUMBER(Datos!L10),Datos!L10,"-")</f>
        <v>38</v>
      </c>
      <c r="AB10" s="334">
        <f>IF(ISNUMBER(Datos!R10),Datos!R10," - ")</f>
        <v>111</v>
      </c>
      <c r="AC10" s="334">
        <f t="shared" ref="AC10:AC12" si="1">IF(ISNUMBER(AA10+AB10),AA10+AB10," - ")</f>
        <v>149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0.78947368421052633</v>
      </c>
      <c r="AM10" s="260">
        <f>IF(ISNUMBER(((NºAsuntos!I10/NºAsuntos!G10)*11)/factor_trimestre),((NºAsuntos!I10/NºAsuntos!G10)*11)/factor_trimestre," - ")</f>
        <v>7.6000000000000005</v>
      </c>
      <c r="AN10" s="244">
        <f>IF(ISNUMBER('Resol  Asuntos'!D10/NºAsuntos!G10),'Resol  Asuntos'!D10/NºAsuntos!G10," - ")</f>
        <v>0.46666666666666667</v>
      </c>
      <c r="AO10" s="245">
        <f>IF(ISNUMBER((NºAsuntos!C10+NºAsuntos!E10)/NºAsuntos!G10),(NºAsuntos!C10+NºAsuntos!E10)/NºAsuntos!G10," - ")</f>
        <v>6.9333333333333336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380</v>
      </c>
      <c r="Y12" s="334">
        <f t="shared" si="0"/>
        <v>380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6435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492</v>
      </c>
      <c r="AJ12" s="229" t="str">
        <f>IF(ISNUMBER(Datos!BW12),Datos!BW12," - ")</f>
        <v xml:space="preserve"> - </v>
      </c>
      <c r="AK12" s="228" t="str">
        <f>IF(ISNUMBER(Datos!BX12),Datos!BX12," - ")</f>
        <v xml:space="preserve"> - </v>
      </c>
      <c r="AL12" s="243">
        <f>IF(ISNUMBER(NºAsuntos!G12/NºAsuntos!E12),NºAsuntos!G12/NºAsuntos!E12," - ")</f>
        <v>0.85027556644213109</v>
      </c>
      <c r="AM12" s="260">
        <f>IF(ISNUMBER(((NºAsuntos!I12/NºAsuntos!G12)*11)/factor_trimestre),((NºAsuntos!I12/NºAsuntos!G12)*11)/factor_trimestre," - ")</f>
        <v>6.4969391429600281</v>
      </c>
      <c r="AN12" s="244">
        <f>IF(ISNUMBER('Resol  Asuntos'!D12/NºAsuntos!G12),'Resol  Asuntos'!D12/NºAsuntos!G12," - ")</f>
        <v>0.17716960749009722</v>
      </c>
      <c r="AO12" s="245">
        <f>IF(ISNUMBER((NºAsuntos!C12+NºAsuntos!E12)/NºAsuntos!G12),(NºAsuntos!C12+NºAsuntos!E12)/NºAsuntos!G12," - ")</f>
        <v>3.405473532589125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34</v>
      </c>
      <c r="G13" s="866">
        <f t="shared" si="3"/>
        <v>85</v>
      </c>
      <c r="H13" s="865">
        <f t="shared" si="3"/>
        <v>0</v>
      </c>
      <c r="I13" s="867">
        <f t="shared" si="3"/>
        <v>0</v>
      </c>
      <c r="J13" s="867">
        <f t="shared" si="3"/>
        <v>0</v>
      </c>
      <c r="K13" s="867">
        <f t="shared" si="3"/>
        <v>0</v>
      </c>
      <c r="L13" s="867">
        <f t="shared" si="3"/>
        <v>308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382</v>
      </c>
      <c r="Y13" s="868">
        <f t="shared" si="4"/>
        <v>397</v>
      </c>
      <c r="Z13" s="868">
        <f t="shared" si="4"/>
        <v>0</v>
      </c>
      <c r="AA13" s="868">
        <f t="shared" si="4"/>
        <v>38</v>
      </c>
      <c r="AB13" s="868">
        <f t="shared" si="4"/>
        <v>6546</v>
      </c>
      <c r="AC13" s="868">
        <f t="shared" si="4"/>
        <v>149</v>
      </c>
      <c r="AD13" s="868">
        <f t="shared" si="4"/>
        <v>0</v>
      </c>
      <c r="AE13" s="872">
        <f t="shared" si="4"/>
        <v>0</v>
      </c>
      <c r="AF13" s="865">
        <f t="shared" si="4"/>
        <v>0</v>
      </c>
      <c r="AG13" s="873">
        <f t="shared" si="4"/>
        <v>0</v>
      </c>
      <c r="AH13" s="870">
        <f t="shared" si="4"/>
        <v>0</v>
      </c>
      <c r="AI13" s="865">
        <f t="shared" si="4"/>
        <v>499</v>
      </c>
      <c r="AJ13" s="867">
        <f t="shared" si="4"/>
        <v>0</v>
      </c>
      <c r="AK13" s="870">
        <f>SUBTOTAL(9,AK9:AK12)</f>
        <v>0</v>
      </c>
      <c r="AL13" s="874">
        <f>IF(ISNUMBER(NºAsuntos!G13/NºAsuntos!E13),NºAsuntos!G13/NºAsuntos!E13," - ")</f>
        <v>0.84992389649923894</v>
      </c>
      <c r="AM13" s="874">
        <f>IF(ISNUMBER(((NºAsuntos!I13/NºAsuntos!G13)*11)/factor_trimestre),((NºAsuntos!I13/NºAsuntos!G13)*11)/factor_trimestre," - ")</f>
        <v>6.5028653295128942</v>
      </c>
      <c r="AN13" s="875">
        <f>IF(ISNUMBER('Resol  Asuntos'!D13/NºAsuntos!G13),'Resol  Asuntos'!D13/NºAsuntos!G13," - ")</f>
        <v>0.17872492836676218</v>
      </c>
      <c r="AO13" s="876">
        <f>IF(ISNUMBER((NºAsuntos!C13+NºAsuntos!E13)/NºAsuntos!G13),(NºAsuntos!C13+NºAsuntos!E13)/NºAsuntos!G13," - ")</f>
        <v>3.4244269340974212</v>
      </c>
      <c r="AP13" s="877" t="str">
        <f t="shared" si="2"/>
        <v xml:space="preserve"> - </v>
      </c>
      <c r="AQ13" s="877">
        <f>IF(ISNUMBER((H13-W13+K13)/(F13)),(H13-W13+K13)/(F13)," - ")</f>
        <v>-0.44117647058823528</v>
      </c>
      <c r="AR13" s="878">
        <f>IF(ISNUMBER((Datos!P13-Datos!Q13)/(Datos!R13-Datos!P13+Datos!Q13)),(Datos!P13-Datos!Q13)/(Datos!R13-Datos!P13+Datos!Q13)," - ")</f>
        <v>-1.1178247734138972E-2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1629</v>
      </c>
      <c r="G16" s="333">
        <f>IF(ISNUMBER(IF(D_I="SI",Datos!I16,Datos!I16+Datos!AC16)),IF(D_I="SI",Datos!I16,Datos!I16+Datos!AC16)," - ")</f>
        <v>2004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1760</v>
      </c>
      <c r="X16" s="226">
        <f>IF(ISNUMBER(Datos!Q16),Datos!Q16," - ")</f>
        <v>41</v>
      </c>
      <c r="Y16" s="334">
        <f t="shared" ref="Y16:Y17" si="7">SUM(W16:X16)</f>
        <v>1801</v>
      </c>
      <c r="Z16" s="335" t="str">
        <f>IF(ISNUMBER(Datos!CC16),Datos!CC16," - ")</f>
        <v xml:space="preserve"> - </v>
      </c>
      <c r="AA16" s="332">
        <f>IF(ISNUMBER(IF(D_I="SI",Datos!L16,Datos!L16+Datos!AF16)),IF(D_I="SI",Datos!L16,Datos!L16+Datos!AF16)," - ")</f>
        <v>1623</v>
      </c>
      <c r="AB16" s="334">
        <f>IF(ISNUMBER(Datos!R16),Datos!R16," - ")</f>
        <v>343</v>
      </c>
      <c r="AC16" s="334">
        <f t="shared" si="6"/>
        <v>1966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192</v>
      </c>
      <c r="AJ16" s="231" t="str">
        <f>IF(ISNUMBER(Datos!BW16),Datos!BW16," - ")</f>
        <v xml:space="preserve"> - </v>
      </c>
      <c r="AK16" s="232" t="str">
        <f>IF(ISNUMBER(Datos!BX16),Datos!BX16," - ")</f>
        <v xml:space="preserve"> - </v>
      </c>
      <c r="AL16" s="243">
        <f>IF(ISNUMBER(NºAsuntos!G16/NºAsuntos!E16),NºAsuntos!G16/NºAsuntos!E16," - ")</f>
        <v>1.0034207525655645</v>
      </c>
      <c r="AM16" s="260">
        <f>IF(ISNUMBER(((NºAsuntos!I16/NºAsuntos!G16)*11)/factor_trimestre),((NºAsuntos!I16/NºAsuntos!G16)*11)/factor_trimestre," - ")</f>
        <v>2.7664772727272724</v>
      </c>
      <c r="AN16" s="244">
        <f>IF(ISNUMBER('Resol  Asuntos'!D16/NºAsuntos!G16),'Resol  Asuntos'!D16/NºAsuntos!G16," - ")</f>
        <v>0.10909090909090909</v>
      </c>
      <c r="AO16" s="245">
        <f>IF(ISNUMBER((NºAsuntos!C16+NºAsuntos!E16)/NºAsuntos!G16),(NºAsuntos!C16+NºAsuntos!E16)/NºAsuntos!G16," - ")</f>
        <v>2.1352272727272728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69</v>
      </c>
      <c r="X17" s="226">
        <f>IF(ISNUMBER(Datos!Q17),Datos!Q17," - ")</f>
        <v>0</v>
      </c>
      <c r="Y17" s="334">
        <f t="shared" si="7"/>
        <v>69</v>
      </c>
      <c r="Z17" s="335" t="str">
        <f>IF(ISNUMBER(Datos!CC17),Datos!CC17," - ")</f>
        <v xml:space="preserve"> - </v>
      </c>
      <c r="AA17" s="332">
        <f>IF(ISNUMBER(Datos!L17),Datos!L17,"-")</f>
        <v>46</v>
      </c>
      <c r="AB17" s="334">
        <f>IF(ISNUMBER(Datos!R17),Datos!R17," - ")</f>
        <v>1</v>
      </c>
      <c r="AC17" s="334">
        <f t="shared" si="6"/>
        <v>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1.0454545454545454</v>
      </c>
      <c r="AM17" s="260">
        <f>IF(ISNUMBER(((NºAsuntos!I17/NºAsuntos!G17)*11)/factor_trimestre),((NºAsuntos!I17/NºAsuntos!G17)*11)/factor_trimestre," - ")</f>
        <v>2</v>
      </c>
      <c r="AN17" s="244">
        <f>IF(ISNUMBER('Resol  Asuntos'!D17/NºAsuntos!G17),'Resol  Asuntos'!D17/NºAsuntos!G17," - ")</f>
        <v>0.13043478260869565</v>
      </c>
      <c r="AO17" s="245">
        <f>IF(ISNUMBER((NºAsuntos!C17+NºAsuntos!E17)/NºAsuntos!G17),(NºAsuntos!C17+NºAsuntos!E17)/NºAsuntos!G17," - ")</f>
        <v>1.6666666666666667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1629</v>
      </c>
      <c r="G18" s="866">
        <f>SUBTOTAL(9,G15:G17)</f>
        <v>2053</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1829</v>
      </c>
      <c r="X18" s="867">
        <f t="shared" si="11"/>
        <v>41</v>
      </c>
      <c r="Y18" s="868">
        <f t="shared" si="11"/>
        <v>1870</v>
      </c>
      <c r="Z18" s="868">
        <f t="shared" si="11"/>
        <v>0</v>
      </c>
      <c r="AA18" s="868">
        <f t="shared" si="11"/>
        <v>1669</v>
      </c>
      <c r="AB18" s="868">
        <f t="shared" si="11"/>
        <v>344</v>
      </c>
      <c r="AC18" s="868">
        <f t="shared" si="11"/>
        <v>2013</v>
      </c>
      <c r="AD18" s="868">
        <f t="shared" si="11"/>
        <v>0</v>
      </c>
      <c r="AE18" s="872">
        <f t="shared" si="11"/>
        <v>0</v>
      </c>
      <c r="AF18" s="865">
        <f t="shared" si="11"/>
        <v>0</v>
      </c>
      <c r="AG18" s="873">
        <f t="shared" si="11"/>
        <v>0</v>
      </c>
      <c r="AH18" s="870">
        <f t="shared" si="11"/>
        <v>0</v>
      </c>
      <c r="AI18" s="865">
        <f t="shared" si="11"/>
        <v>201</v>
      </c>
      <c r="AJ18" s="867">
        <f t="shared" si="11"/>
        <v>0</v>
      </c>
      <c r="AK18" s="870">
        <f t="shared" si="11"/>
        <v>0</v>
      </c>
      <c r="AL18" s="874">
        <f>IF(ISNUMBER(NºAsuntos!G18/NºAsuntos!E18),NºAsuntos!G18/NºAsuntos!E18," - ")</f>
        <v>1.0049450549450549</v>
      </c>
      <c r="AM18" s="874">
        <f>IF(ISNUMBER(((NºAsuntos!I18/NºAsuntos!G18)*11)/factor_trimestre),((NºAsuntos!I18/NºAsuntos!G18)*11)/factor_trimestre," - ")</f>
        <v>2.7375615090213232</v>
      </c>
      <c r="AN18" s="875">
        <f>IF(ISNUMBER('Resol  Asuntos'!D18/NºAsuntos!G18),'Resol  Asuntos'!D18/NºAsuntos!G18," - ")</f>
        <v>0.10989611809732094</v>
      </c>
      <c r="AO18" s="876">
        <f>IF(ISNUMBER((NºAsuntos!C18+NºAsuntos!E18)/NºAsuntos!G18),(NºAsuntos!C18+NºAsuntos!E18)/NºAsuntos!G18," - ")</f>
        <v>2.1175505740841989</v>
      </c>
      <c r="AP18" s="877" t="str">
        <f t="shared" si="2"/>
        <v xml:space="preserve"> - </v>
      </c>
      <c r="AQ18" s="877">
        <f>IF(ISNUMBER((H18-W18+K18)/(F18)),(H18-W18+K18)/(F18)," - ")</f>
        <v>-1.1227747084100674</v>
      </c>
      <c r="AR18" s="878">
        <f>IF(ISNUMBER((Datos!P18-Datos!Q18)/(Datos!R18-Datos!P18+Datos!Q18)),(Datos!P18-Datos!Q18)/(Datos!R18-Datos!P18+Datos!Q18)," - ")</f>
        <v>5.8479532163742687E-3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1663</v>
      </c>
      <c r="G19" s="821">
        <f t="shared" si="13"/>
        <v>2138</v>
      </c>
      <c r="H19" s="820">
        <f t="shared" si="13"/>
        <v>0</v>
      </c>
      <c r="I19" s="822">
        <f t="shared" si="13"/>
        <v>0</v>
      </c>
      <c r="J19" s="822">
        <f t="shared" si="13"/>
        <v>0</v>
      </c>
      <c r="K19" s="881">
        <f t="shared" si="13"/>
        <v>0</v>
      </c>
      <c r="L19" s="822">
        <f t="shared" si="13"/>
        <v>351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1844</v>
      </c>
      <c r="X19" s="821">
        <f t="shared" si="14"/>
        <v>423</v>
      </c>
      <c r="Y19" s="828">
        <f t="shared" si="14"/>
        <v>2267</v>
      </c>
      <c r="Z19" s="828">
        <f t="shared" si="14"/>
        <v>0</v>
      </c>
      <c r="AA19" s="828">
        <f t="shared" si="14"/>
        <v>1707</v>
      </c>
      <c r="AB19" s="828">
        <f t="shared" si="14"/>
        <v>6890</v>
      </c>
      <c r="AC19" s="828">
        <f t="shared" si="14"/>
        <v>2162</v>
      </c>
      <c r="AD19" s="828">
        <f t="shared" si="14"/>
        <v>0</v>
      </c>
      <c r="AE19" s="830">
        <f t="shared" si="14"/>
        <v>0</v>
      </c>
      <c r="AF19" s="831">
        <f t="shared" si="14"/>
        <v>0</v>
      </c>
      <c r="AG19" s="832">
        <f t="shared" si="14"/>
        <v>0</v>
      </c>
      <c r="AH19" s="830">
        <f t="shared" si="14"/>
        <v>0</v>
      </c>
      <c r="AI19" s="820">
        <f t="shared" si="14"/>
        <v>700</v>
      </c>
      <c r="AJ19" s="820">
        <f t="shared" si="14"/>
        <v>0</v>
      </c>
      <c r="AK19" s="830">
        <f t="shared" si="14"/>
        <v>0</v>
      </c>
      <c r="AL19" s="884">
        <f>IF(ISNUMBER(NºAsuntos!G19/NºAsuntos!E19),NºAsuntos!G19/NºAsuntos!E19," - ")</f>
        <v>0.90519098922624874</v>
      </c>
      <c r="AM19" s="885">
        <f>IF(ISNUMBER(((NºAsuntos!I19/NºAsuntos!G19)*11)/factor_trimestre),((NºAsuntos!I19/NºAsuntos!G19)*11)/factor_trimestre," - ")</f>
        <v>5.0125513958017756</v>
      </c>
      <c r="AN19" s="885">
        <f>IF(ISNUMBER('Resol  Asuntos'!D19/NºAsuntos!G19),'Resol  Asuntos'!D19/NºAsuntos!G19," - ")</f>
        <v>0.15148236312486474</v>
      </c>
      <c r="AO19" s="886">
        <f>IF(ISNUMBER((NºAsuntos!C19+NºAsuntos!E19)/NºAsuntos!G19),(NºAsuntos!C19+NºAsuntos!E19)/NºAsuntos!G19," - ")</f>
        <v>2.907162951742047</v>
      </c>
      <c r="AP19" s="887" t="str">
        <f t="shared" si="2"/>
        <v xml:space="preserve"> - </v>
      </c>
      <c r="AQ19" s="888">
        <f>IF(OR(ISNUMBER(FIND("01",Criterios!A8,1)),ISNUMBER(FIND("02",Criterios!A8,1)),ISNUMBER(FIND("03",Criterios!A8,1)),ISNUMBER(FIND("04",Criterios!A8,1))),(I19-W19+K19)/(F19-K19),(H19-W19+K19)/(F19-K19))</f>
        <v>-1.1088394467829223</v>
      </c>
      <c r="AR19" s="889">
        <f>IF(ISNUMBER((Datos!P19-Datos!Q19)/(Datos!R19-Datos!P19+Datos!Q19)),(Datos!P19-Datos!Q19)/(Datos!R19-Datos!P19+Datos!Q19)," - ")</f>
        <v>-1.0341855788566504E-2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855.2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920.87367935745317</v>
      </c>
      <c r="G21" s="253">
        <f>IF(ISNUMBER(STDEV(G8:G18)),STDEV(G8:G18),"-")</f>
        <v>1071.3123727466234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965.3733992606177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219.906040541561</v>
      </c>
      <c r="AJ21" s="252">
        <f t="shared" si="18"/>
        <v>0</v>
      </c>
      <c r="AK21" s="254">
        <f t="shared" si="18"/>
        <v>0</v>
      </c>
      <c r="AL21" s="249">
        <f t="shared" si="18"/>
        <v>0.10642444509214988</v>
      </c>
      <c r="AM21" s="250">
        <f t="shared" si="18"/>
        <v>2.4399773616841869</v>
      </c>
      <c r="AN21" s="250">
        <f t="shared" si="18"/>
        <v>0.13651126924497928</v>
      </c>
      <c r="AO21" s="251">
        <f t="shared" si="18"/>
        <v>1.9312215670357953</v>
      </c>
      <c r="AP21" s="291" t="str">
        <f t="shared" si="18"/>
        <v>-</v>
      </c>
      <c r="AQ21" s="292">
        <f t="shared" si="18"/>
        <v>0.48196273600861883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kfG+WSzUaf5lSwi5F1iEfAwXa4qc6tntnwOzR3w37odz108wu7roqZuSmLRWbMnNw9IAjshZyelV4uWg7A8SA==" saltValue="g/Cuu2MaXB1znhp0tKJFI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MAJADAHONDA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4.9382716049382713E-2</v>
      </c>
      <c r="E10" s="348">
        <f>IF(ISNUMBER((Datos!J10-Datos!T10)/Datos!T10),(Datos!J10-Datos!T10)/Datos!T10," - ")</f>
        <v>5.5555555555555552E-2</v>
      </c>
      <c r="F10" s="348">
        <f>IF(ISNUMBER((Datos!K10-Datos!U10)/Datos!U10),(Datos!K10-Datos!U10)/Datos!U10," - ")</f>
        <v>-0.25</v>
      </c>
      <c r="G10" s="349">
        <f>IF(ISNUMBER((Datos!L10-Datos!V10)/Datos!V10),(Datos!L10-Datos!V10)/Datos!V10," - ")</f>
        <v>-0.51898734177215189</v>
      </c>
      <c r="H10" s="230">
        <f>IF(ISNUMBER((Datos!M10-Datos!W10)/Datos!W10),(Datos!M10-Datos!W10)/Datos!W10," - ")</f>
        <v>-0.3</v>
      </c>
      <c r="I10" s="350">
        <f>IF(ISNUMBER((Tasas!C10-Datos!BE10)/Datos!BE10),(Tasas!C10-Datos!BE10)/Datos!BE10," - ")</f>
        <v>-0.35864978902953593</v>
      </c>
      <c r="J10" s="349">
        <f>IF(ISNUMBER((Tasas!D10-Datos!BF10)/Datos!BF10),(Tasas!D10-Datos!BF10)/Datos!BF10," - ")</f>
        <v>-6.6666666666666652E-2</v>
      </c>
      <c r="K10" s="351">
        <f>IF(ISNUMBER((Tasas!E10-Datos!BG10)/Datos!BG10),(Tasas!E10-Datos!BG10)/Datos!BG10," - ")</f>
        <v>0.40067340067340068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-2.9585798816568046E-2</v>
      </c>
      <c r="I12" s="350">
        <f>IF(ISNUMBER((Tasas!C12-Datos!BE12)/Datos!BE12),(Tasas!C12-Datos!BE12)/Datos!BE12," - ")</f>
        <v>3.959952056836454E-3</v>
      </c>
      <c r="J12" s="349">
        <f>IF(ISNUMBER((Tasas!D12-Datos!BF12)/Datos!BF12),(Tasas!D12-Datos!BF12)/Datos!BF12," - ")</f>
        <v>-0.6379941222251907</v>
      </c>
      <c r="K12" s="351">
        <f>IF(ISNUMBER((Tasas!E12-Datos!BG12)/Datos!BG12),(Tasas!E12-Datos!BG12)/Datos!BG12," - ")</f>
        <v>7.7487178866222903E-2</v>
      </c>
      <c r="M12" t="e">
        <f>IF(Monitorios="SI",Datos!CE12,0)</f>
        <v>#REF!</v>
      </c>
      <c r="N12" t="e">
        <f>IF(Monitorios="SI",Datos!CF12,0)</f>
        <v>#REF!</v>
      </c>
      <c r="O12" t="e">
        <f>IF(Monitorios="SI",Datos!CG12,0)</f>
        <v>#REF!</v>
      </c>
      <c r="P12" t="e">
        <f>IF(Monitorios="SI",Datos!CH12,0)</f>
        <v>#REF!</v>
      </c>
      <c r="Q12">
        <f>IF(J_V="SI",0,Datos!AG12)</f>
        <v>158</v>
      </c>
      <c r="R12">
        <f>IF(J_V="SI",0,Datos!AH12)</f>
        <v>356</v>
      </c>
      <c r="S12">
        <f>IF(J_V="SI",0,Datos!AI12)</f>
        <v>368</v>
      </c>
      <c r="T12">
        <f>IF(J_V="SI",0,Datos!AJ12)</f>
        <v>146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-3.4816247582205029E-2</v>
      </c>
      <c r="I13" s="357">
        <f>IF(ISNUMBER((Tasas!C13-Datos!BE13)/Datos!BE13),(Tasas!C13-Datos!BE13)/Datos!BE13," - ")</f>
        <v>-1.4669619588544411E-3</v>
      </c>
      <c r="J13" s="355">
        <f>IF(ISNUMBER((Tasas!D13-Datos!BF13)/Datos!BF13),(Tasas!D13-Datos!BF13)/Datos!BF13," - ")</f>
        <v>-0.63487655149428834</v>
      </c>
      <c r="K13" s="358">
        <f>IF(ISNUMBER((Tasas!E13-Datos!BG13)/Datos!BG13),(Tasas!E13-Datos!BG13)/Datos!BG13," - ")</f>
        <v>7.8816093238588139E-2</v>
      </c>
      <c r="M13" t="e">
        <f>IF(Monitorios="SI",Datos!CE13,0)</f>
        <v>#REF!</v>
      </c>
      <c r="N13" t="e">
        <f>IF(Monitorios="SI",Datos!CF13,0)</f>
        <v>#REF!</v>
      </c>
      <c r="O13" t="e">
        <f>IF(Monitorios="SI",Datos!CG13,0)</f>
        <v>#REF!</v>
      </c>
      <c r="P13" t="e">
        <f>IF(Monitorios="SI",Datos!CH13,0)</f>
        <v>#REF!</v>
      </c>
      <c r="Q13">
        <f>IF(J_V="SI",0,Datos!AG13)</f>
        <v>158</v>
      </c>
      <c r="R13">
        <f>IF(J_V="SI",0,Datos!AH13)</f>
        <v>356</v>
      </c>
      <c r="S13">
        <f>IF(J_V="SI",0,Datos!AI13)</f>
        <v>368</v>
      </c>
      <c r="T13">
        <f>IF(J_V="SI",0,Datos!AJ13)</f>
        <v>146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0.20650210716435882</v>
      </c>
      <c r="E16" s="348">
        <f>IF(ISNUMBER(
   IF(D_I="SI",(Datos!J16-Datos!T16)/Datos!T16,(Datos!J16+Datos!AD16-(Datos!T16+Datos!AL16))/(Datos!T16+Datos!AL16))
     ),IF(D_I="SI",(Datos!J16-Datos!T16)/Datos!T16,(Datos!J16+Datos!AD16-(Datos!T16+Datos!AL16))/(Datos!T16+Datos!AL16))," - ")</f>
        <v>3.7869822485207101E-2</v>
      </c>
      <c r="F16" s="348">
        <f>IF(ISNUMBER(
   IF(D_I="SI",(Datos!K16-Datos!U16)/Datos!U16,(Datos!K16+Datos!AE16-(Datos!U16+Datos!AM16))/(Datos!U16+Datos!AM16))
     ),IF(D_I="SI",(Datos!K16-Datos!U16)/Datos!U16,(Datos!K16+Datos!AE16-(Datos!U16+Datos!AM16))/(Datos!U16+Datos!AM16))," - ")</f>
        <v>-6.2111801242236021E-3</v>
      </c>
      <c r="G16" s="349">
        <f>IF(ISNUMBER(
   IF(D_I="SI",(Datos!L16-Datos!V16)/Datos!V16,(Datos!L16+Datos!AF16-(Datos!V16+Datos!AN16))/(Datos!V16+Datos!AN16))
     ),IF(D_I="SI",(Datos!L16-Datos!V16)/Datos!V16,(Datos!L16+Datos!AF16-(Datos!V16+Datos!AN16))/(Datos!V16+Datos!AN16))," - ")</f>
        <v>7.4487895716945996E-3</v>
      </c>
      <c r="H16" s="230">
        <f>IF(ISNUMBER((Datos!M16-Datos!W16)/Datos!W16),(Datos!M16-Datos!W16)/Datos!W16," - ")</f>
        <v>-0.17948717948717949</v>
      </c>
      <c r="I16" s="350">
        <f>IF(ISNUMBER((Tasas!C16-Datos!BE16)/Datos!BE16),(Tasas!C16-Datos!BE16)/Datos!BE16," - ")</f>
        <v>1.3745344506517706E-2</v>
      </c>
      <c r="J16" s="349">
        <f>IF(ISNUMBER((Tasas!D16-Datos!BF16)/Datos!BF16),(Tasas!D16-Datos!BF16)/Datos!BF16," - ")</f>
        <v>-0.17435897435897438</v>
      </c>
      <c r="K16" s="351">
        <f>IF(ISNUMBER((Tasas!E16-Datos!BG16)/Datos!BG16),(Tasas!E16-Datos!BG16)/Datos!BG16," - ")</f>
        <v>0.12846538346762162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2.0833333333333332E-2</v>
      </c>
      <c r="E17" s="348">
        <f>IF(ISNUMBER(
   IF(D_I="SI",(Datos!J17-Datos!T17)/Datos!T17,(Datos!J17+Datos!AD17-(Datos!T17+Datos!AL17))/(Datos!T17+Datos!AL17))
     ),IF(D_I="SI",(Datos!J17-Datos!T17)/Datos!T17,(Datos!J17+Datos!AD17-(Datos!T17+Datos!AL17))/(Datos!T17+Datos!AL17))," - ")</f>
        <v>-0.17499999999999999</v>
      </c>
      <c r="F17" s="348">
        <f>IF(ISNUMBER(
   IF(D_I="SI",(Datos!K17-Datos!U17)/Datos!U17,(Datos!K17+Datos!AE17-(Datos!U17+Datos!AM17))/(Datos!U17+Datos!AM17))
     ),IF(D_I="SI",(Datos!K17-Datos!U17)/Datos!U17,(Datos!K17+Datos!AE17-(Datos!U17+Datos!AM17))/(Datos!U17+Datos!AM17))," - ")</f>
        <v>-0.21590909090909091</v>
      </c>
      <c r="G17" s="349">
        <f>IF(ISNUMBER(
   IF(D_I="SI",(Datos!L17-Datos!V17)/Datos!V17,(Datos!L17+Datos!AF17-(Datos!V17+Datos!AN17))/(Datos!V17+Datos!AN17))
     ),IF(D_I="SI",(Datos!L17-Datos!V17)/Datos!V17,(Datos!L17+Datos!AF17-(Datos!V17+Datos!AN17))/(Datos!V17+Datos!AN17))," - ")</f>
        <v>0.12195121951219512</v>
      </c>
      <c r="H17" s="230">
        <f>IF(ISNUMBER((Datos!M17-Datos!W17)/Datos!W17),(Datos!M17-Datos!W17)/Datos!W17," - ")</f>
        <v>-0.1</v>
      </c>
      <c r="I17" s="350">
        <f>IF(ISNUMBER((Tasas!C17-Datos!BE17)/Datos!BE17),(Tasas!C17-Datos!BE17)/Datos!BE17," - ")</f>
        <v>0.43089430894308944</v>
      </c>
      <c r="J17" s="349">
        <f>IF(ISNUMBER((Tasas!D17-Datos!BF17)/Datos!BF17),(Tasas!D17-Datos!BF17)/Datos!BF17," - ")</f>
        <v>0.14782608695652175</v>
      </c>
      <c r="K17" s="351">
        <f>IF(ISNUMBER((Tasas!E17-Datos!BG17)/Datos!BG17),(Tasas!E17-Datos!BG17)/Datos!BG17," - ")</f>
        <v>0.14583333333333334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0.20128730251609128</v>
      </c>
      <c r="E18" s="354">
        <f>IF(ISNUMBER(
   IF(D_I="SI",(Datos!J18-Datos!T18)/Datos!T18,(Datos!J18+Datos!AD18-(Datos!T18+Datos!AL18))/(Datos!T18+Datos!AL18))
     ),IF(D_I="SI",(Datos!J18-Datos!T18)/Datos!T18,(Datos!J18+Datos!AD18-(Datos!T18+Datos!AL18))/(Datos!T18+Datos!AL18))," - ")</f>
        <v>2.8248587570621469E-2</v>
      </c>
      <c r="F18" s="354">
        <f>IF(ISNUMBER(
   IF(D_I="SI",(Datos!K18-Datos!U18)/Datos!U18,(Datos!K18+Datos!AE18-(Datos!U18+Datos!AM18))/(Datos!U18+Datos!AM18))
     ),IF(D_I="SI",(Datos!K18-Datos!U18)/Datos!U18,(Datos!K18+Datos!AE18-(Datos!U18+Datos!AM18))/(Datos!U18+Datos!AM18))," - ")</f>
        <v>-1.6137708445400752E-2</v>
      </c>
      <c r="G18" s="355">
        <f>IF(ISNUMBER(
   IF(D_I="SI",(Datos!L18-Datos!V18)/Datos!V18,(Datos!L18+Datos!AF18-(Datos!V18+Datos!AN18))/(Datos!V18+Datos!AN18))
     ),IF(D_I="SI",(Datos!L18-Datos!V18)/Datos!V18,(Datos!L18+Datos!AF18-(Datos!V18+Datos!AN18))/(Datos!V18+Datos!AN18))," - ")</f>
        <v>1.0290556900726392E-2</v>
      </c>
      <c r="H18" s="356">
        <f>IF(ISNUMBER((Datos!M18-Datos!W18)/Datos!W18),(Datos!M18-Datos!W18)/Datos!W18," - ")</f>
        <v>-0.17622950819672131</v>
      </c>
      <c r="I18" s="357">
        <f>IF(ISNUMBER((Tasas!C18-Datos!BE18)/Datos!BE18),(Tasas!C18-Datos!BE18)/Datos!BE18," - ")</f>
        <v>2.6861752475915983E-2</v>
      </c>
      <c r="J18" s="355">
        <f>IF(ISNUMBER((Tasas!D18-Datos!BF18)/Datos!BF18),(Tasas!D18-Datos!BF18)/Datos!BF18," - ")</f>
        <v>-0.1627176903978704</v>
      </c>
      <c r="K18" s="358">
        <f>IF(ISNUMBER((Tasas!E18-Datos!BG18)/Datos!BG18),(Tasas!E18-Datos!BG18)/Datos!BG18," - ")</f>
        <v>0.13151092762935493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0.13458656858738591</v>
      </c>
      <c r="E19" s="363">
        <f>IF(ISNUMBER(
   IF(J_V="SI",(Datos!J19-Datos!T19)/Datos!T19,(Datos!J19+Datos!Z19-(Datos!T19+Datos!AH19))/(Datos!T19+Datos!AH19))
     ),IF(J_V="SI",(Datos!J19-Datos!T19)/Datos!T19,(Datos!J19+Datos!Z19-(Datos!T19+Datos!AH19))/(Datos!T19+Datos!AH19))," - ")</f>
        <v>0.14848143982002249</v>
      </c>
      <c r="F19" s="363">
        <f>IF(ISNUMBER(
   IF(J_V="SI",(Datos!K19-Datos!U19)/Datos!U19,(Datos!K19+Datos!AA19-(Datos!U19+Datos!AI19))/(Datos!U19+Datos!AI19))
     ),IF(J_V="SI",(Datos!K19-Datos!U19)/Datos!U19,(Datos!K19+Datos!AA19-(Datos!U19+Datos!AI19))/(Datos!U19+Datos!AI19))," - ")</f>
        <v>3.2394995531724757E-2</v>
      </c>
      <c r="G19" s="364">
        <f>IF(ISNUMBER(
   IF(J_V="SI",(Datos!L19-Datos!V19)/Datos!V19,(Datos!L19+Datos!AB19-(Datos!V19+Datos!AJ19))/(Datos!V19+Datos!AJ19))
     ),IF(J_V="SI",(Datos!L19-Datos!V19)/Datos!V19,(Datos!L19+Datos!AB19-(Datos!V19+Datos!AJ19))/(Datos!V19+Datos!AJ19))," - ")</f>
        <v>5.291149597708987E-2</v>
      </c>
      <c r="H19" s="365">
        <f>IF(ISNUMBER((Datos!M19-Datos!W19)/Datos!W19),(Datos!M19-Datos!W19)/Datos!W19," - ")</f>
        <v>-8.0157687253613663E-2</v>
      </c>
      <c r="I19" s="362">
        <f>IF(ISNUMBER((Tasas!C19-Datos!BE19)/Datos!BE19),(Tasas!C19-Datos!BE19)/Datos!BE19," - ")</f>
        <v>1.9872723651472447E-2</v>
      </c>
      <c r="J19" s="363">
        <f>IF(ISNUMBER((Tasas!D19-Datos!BF19)/Datos!BF19),(Tasas!D19-Datos!BF19)/Datos!BF19," - ")</f>
        <v>-0.55538684764138058</v>
      </c>
      <c r="K19" s="364">
        <f>IF(ISNUMBER((Tasas!E19-Datos!BG19)/Datos!BG19),(Tasas!E19-Datos!BG19)/Datos!BG19," - ")</f>
        <v>0.10406086645150191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9.8166651017830342E-2</v>
      </c>
      <c r="E21" s="278">
        <f t="shared" si="1"/>
        <v>0.10837067472642006</v>
      </c>
      <c r="F21" s="278">
        <f t="shared" si="1"/>
        <v>0.12886268699463913</v>
      </c>
      <c r="G21" s="279">
        <f t="shared" si="1"/>
        <v>0.28775848082314986</v>
      </c>
      <c r="H21" s="285">
        <f t="shared" si="1"/>
        <v>0.10320935495190975</v>
      </c>
      <c r="I21" s="277">
        <f t="shared" si="1"/>
        <v>0.25020411735064196</v>
      </c>
      <c r="J21" s="278">
        <f t="shared" si="1"/>
        <v>0.31741069535737781</v>
      </c>
      <c r="K21" s="279">
        <f t="shared" si="1"/>
        <v>0.12110188930133468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Kv7PfxGE3ZU75ZZ53/evwYyTMMW52ZkF1Mf7m5TS5WI3AaAQ7swZSC/tVvYAqcnk7IS2n0Jz8Ii6RTVZkByXg==" saltValue="4qPHqLkKjJkQY930ZvTlN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